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14505" yWindow="-15" windowWidth="14310" windowHeight="125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117" i="5"/>
  <c r="V215" i="5"/>
  <c r="V216" i="5"/>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7" i="5"/>
  <c r="AB215"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c r="B56" i="6"/>
  <c r="G56" i="6" s="1"/>
  <c r="B55" i="6"/>
  <c r="G55" i="6"/>
  <c r="B54" i="6"/>
  <c r="G54" i="6" s="1"/>
  <c r="B53" i="6"/>
  <c r="G53" i="6" s="1"/>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G237" i="5"/>
  <c r="R117" i="5" l="1"/>
  <c r="X117" i="5"/>
  <c r="B43" i="6"/>
  <c r="B23" i="6"/>
  <c r="B38" i="6"/>
  <c r="B33" i="6"/>
  <c r="B48" i="6"/>
  <c r="B28" i="6"/>
  <c r="B21" i="6"/>
  <c r="B31" i="6" s="1"/>
  <c r="F21" i="6"/>
  <c r="B20" i="6"/>
  <c r="B35" i="6" s="1"/>
  <c r="G23" i="6"/>
  <c r="H23" i="6" s="1"/>
  <c r="D23"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R214"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I457" i="5"/>
  <c r="E539" i="5"/>
  <c r="X539" i="5" s="1"/>
  <c r="J325" i="5"/>
  <c r="F341" i="5"/>
  <c r="I237" i="5"/>
  <c r="F1879" i="5"/>
  <c r="J1879" i="5"/>
  <c r="H2388" i="5"/>
  <c r="R1879" i="5"/>
  <c r="I277" i="5"/>
  <c r="E491" i="5"/>
  <c r="X491" i="5" s="1"/>
  <c r="H285" i="5"/>
  <c r="E373" i="5"/>
  <c r="X373" i="5" s="1"/>
  <c r="E475" i="5"/>
  <c r="X475" i="5" s="1"/>
  <c r="H481" i="5"/>
  <c r="H523" i="5"/>
  <c r="H397" i="5"/>
  <c r="I389" i="5"/>
  <c r="I317" i="5"/>
  <c r="I493" i="5"/>
  <c r="I381" i="5"/>
  <c r="I261" i="5"/>
  <c r="I397" i="5"/>
  <c r="H293" i="5"/>
  <c r="F824" i="5"/>
  <c r="G325" i="5"/>
  <c r="H229" i="5"/>
  <c r="G333" i="5"/>
  <c r="J269" i="5"/>
  <c r="F261" i="5"/>
  <c r="F459" i="5"/>
  <c r="F2428" i="5"/>
  <c r="H331" i="5"/>
  <c r="F371" i="5"/>
  <c r="H839" i="5"/>
  <c r="G2310" i="5"/>
  <c r="G999" i="5"/>
  <c r="R455" i="5"/>
  <c r="J535" i="5"/>
  <c r="J331" i="5"/>
  <c r="I2162" i="5"/>
  <c r="R1580" i="5"/>
  <c r="G1363" i="5"/>
  <c r="E2267" i="5"/>
  <c r="X2267" i="5" s="1"/>
  <c r="F455" i="5"/>
  <c r="G823" i="5"/>
  <c r="H1331" i="5"/>
  <c r="I2114" i="5"/>
  <c r="F535" i="5"/>
  <c r="E423" i="5"/>
  <c r="X423" i="5" s="1"/>
  <c r="J2098" i="5"/>
  <c r="G1207" i="5"/>
  <c r="R545" i="5"/>
  <c r="I413" i="5"/>
  <c r="G427" i="5"/>
  <c r="R333" i="5"/>
  <c r="G405" i="5"/>
  <c r="H491" i="5"/>
  <c r="R533" i="5"/>
  <c r="G413" i="5"/>
  <c r="G269" i="5"/>
  <c r="J381" i="5"/>
  <c r="J277" i="5"/>
  <c r="G636" i="5"/>
  <c r="E964" i="5"/>
  <c r="X964" i="5" s="1"/>
  <c r="R1548" i="5"/>
  <c r="H2146" i="5"/>
  <c r="F2050" i="5"/>
  <c r="E2456" i="5"/>
  <c r="X2456" i="5" s="1"/>
  <c r="H2164" i="5"/>
  <c r="R285" i="5"/>
  <c r="H381" i="5"/>
  <c r="J389" i="5"/>
  <c r="R229" i="5"/>
  <c r="G277" i="5"/>
  <c r="G317" i="5"/>
  <c r="F491" i="5"/>
  <c r="I545" i="5"/>
  <c r="E427" i="5"/>
  <c r="X427" i="5" s="1"/>
  <c r="E253" i="5"/>
  <c r="X253" i="5" s="1"/>
  <c r="I473" i="5"/>
  <c r="I405" i="5"/>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F1243" i="5"/>
  <c r="I283" i="5"/>
  <c r="E975" i="5"/>
  <c r="X975" i="5" s="1"/>
  <c r="R1367" i="5"/>
  <c r="E807" i="5"/>
  <c r="X807" i="5" s="1"/>
  <c r="H967" i="5"/>
  <c r="F267" i="5"/>
  <c r="R907" i="5"/>
  <c r="I927" i="5"/>
  <c r="H535" i="5"/>
  <c r="G711" i="5"/>
  <c r="H775" i="5"/>
  <c r="R735" i="5"/>
  <c r="I607" i="5"/>
  <c r="G1275" i="5"/>
  <c r="H439" i="5"/>
  <c r="H935" i="5"/>
  <c r="H267" i="5"/>
  <c r="E235" i="5"/>
  <c r="X235" i="5" s="1"/>
  <c r="J471" i="5"/>
  <c r="R963" i="5"/>
  <c r="R1027" i="5"/>
  <c r="J803" i="5"/>
  <c r="G731" i="5"/>
  <c r="J599" i="5"/>
  <c r="J1003" i="5"/>
  <c r="J607" i="5"/>
  <c r="H683" i="5"/>
  <c r="R863"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R703" i="5"/>
  <c r="I403" i="5"/>
  <c r="J567" i="5"/>
  <c r="I651" i="5"/>
  <c r="F911" i="5"/>
  <c r="J931" i="5"/>
  <c r="E947" i="5"/>
  <c r="X947" i="5" s="1"/>
  <c r="J1075" i="5"/>
  <c r="G1243" i="5"/>
  <c r="E1315" i="5"/>
  <c r="X1315" i="5" s="1"/>
  <c r="H1367"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H237" i="5"/>
  <c r="F493" i="5"/>
  <c r="I521" i="5"/>
  <c r="H1039" i="5"/>
  <c r="E2407" i="5"/>
  <c r="X2407" i="5" s="1"/>
  <c r="J349" i="5"/>
  <c r="G341" i="5"/>
  <c r="I437" i="5"/>
  <c r="F481" i="5"/>
  <c r="H253" i="5"/>
  <c r="E285" i="5"/>
  <c r="X285" i="5" s="1"/>
  <c r="F365" i="5"/>
  <c r="J443" i="5"/>
  <c r="R453" i="5"/>
  <c r="G475" i="5"/>
  <c r="R1684" i="5"/>
  <c r="H1844" i="5"/>
  <c r="H1296" i="5"/>
  <c r="H1596" i="5"/>
  <c r="J301" i="5"/>
  <c r="E269" i="5"/>
  <c r="X269" i="5" s="1"/>
  <c r="I553" i="5"/>
  <c r="H1016" i="5"/>
  <c r="I984" i="5"/>
  <c r="G904" i="5"/>
  <c r="E712" i="5"/>
  <c r="X712" i="5" s="1"/>
  <c r="J996" i="5"/>
  <c r="J732" i="5"/>
  <c r="G576" i="5"/>
  <c r="E608" i="5"/>
  <c r="X608" i="5" s="1"/>
  <c r="G664" i="5"/>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I509" i="5"/>
  <c r="J509" i="5"/>
  <c r="H469" i="5"/>
  <c r="J469" i="5"/>
  <c r="E469" i="5"/>
  <c r="X469" i="5" s="1"/>
  <c r="G253" i="5"/>
  <c r="E237" i="5"/>
  <c r="X237" i="5" s="1"/>
  <c r="E309" i="5"/>
  <c r="X309" i="5" s="1"/>
  <c r="R507" i="5"/>
  <c r="R405" i="5"/>
  <c r="G545" i="5"/>
  <c r="R509" i="5"/>
  <c r="E341" i="5"/>
  <c r="X341" i="5" s="1"/>
  <c r="H425" i="5"/>
  <c r="G445" i="5"/>
  <c r="F441" i="5"/>
  <c r="J441" i="5"/>
  <c r="E325" i="5"/>
  <c r="X325" i="5" s="1"/>
  <c r="G229" i="5"/>
  <c r="I229" i="5"/>
  <c r="R237" i="5"/>
  <c r="E277" i="5"/>
  <c r="X277" i="5" s="1"/>
  <c r="E317" i="5"/>
  <c r="X317" i="5" s="1"/>
  <c r="H317" i="5"/>
  <c r="I333" i="5"/>
  <c r="E405" i="5"/>
  <c r="X405" i="5" s="1"/>
  <c r="R469" i="5"/>
  <c r="J491" i="5"/>
  <c r="I491" i="5"/>
  <c r="F507" i="5"/>
  <c r="F513" i="5"/>
  <c r="R521" i="5"/>
  <c r="H521" i="5"/>
  <c r="F533" i="5"/>
  <c r="E545" i="5"/>
  <c r="X545" i="5" s="1"/>
  <c r="R357" i="5"/>
  <c r="I357" i="5"/>
  <c r="R481" i="5"/>
  <c r="R389" i="5"/>
  <c r="I301" i="5"/>
  <c r="E245" i="5"/>
  <c r="X245" i="5" s="1"/>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R421" i="5"/>
  <c r="J237" i="5"/>
  <c r="H269" i="5"/>
  <c r="E365" i="5"/>
  <c r="X365" i="5" s="1"/>
  <c r="G457" i="5"/>
  <c r="I481" i="5"/>
  <c r="H505" i="5"/>
  <c r="H545" i="5"/>
  <c r="G1064" i="5"/>
  <c r="H748" i="5"/>
  <c r="E1128" i="5"/>
  <c r="X1128" i="5" s="1"/>
  <c r="R996" i="5"/>
  <c r="R640" i="5"/>
  <c r="F780" i="5"/>
  <c r="G792" i="5"/>
  <c r="G648" i="5"/>
  <c r="G668" i="5"/>
  <c r="H704" i="5"/>
  <c r="E996" i="5"/>
  <c r="X996" i="5" s="1"/>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E557" i="5"/>
  <c r="X557" i="5" s="1"/>
  <c r="G557" i="5"/>
  <c r="E553" i="5"/>
  <c r="X553" i="5" s="1"/>
  <c r="G553" i="5"/>
  <c r="H441" i="5"/>
  <c r="R441" i="5"/>
  <c r="F417" i="5"/>
  <c r="E507" i="5"/>
  <c r="X507" i="5" s="1"/>
  <c r="G533" i="5"/>
  <c r="J261" i="5"/>
  <c r="I505" i="5"/>
  <c r="E229" i="5"/>
  <c r="X229" i="5" s="1"/>
  <c r="R349" i="5"/>
  <c r="F381" i="5"/>
  <c r="E555" i="5"/>
  <c r="X555" i="5" s="1"/>
  <c r="J523" i="5"/>
  <c r="R557" i="5"/>
  <c r="I497" i="5"/>
  <c r="I427" i="5"/>
  <c r="E481" i="5"/>
  <c r="X481" i="5" s="1"/>
  <c r="R457" i="5"/>
  <c r="R293" i="5"/>
  <c r="F229" i="5"/>
  <c r="F277" i="5"/>
  <c r="R317" i="5"/>
  <c r="J317" i="5"/>
  <c r="J333" i="5"/>
  <c r="F405" i="5"/>
  <c r="G469" i="5"/>
  <c r="G491" i="5"/>
  <c r="E493" i="5"/>
  <c r="X493" i="5" s="1"/>
  <c r="H507" i="5"/>
  <c r="G521" i="5"/>
  <c r="E533" i="5"/>
  <c r="X533" i="5" s="1"/>
  <c r="H533" i="5"/>
  <c r="E473" i="5"/>
  <c r="X473" i="5" s="1"/>
  <c r="E425" i="5"/>
  <c r="X425" i="5" s="1"/>
  <c r="H509" i="5"/>
  <c r="F457" i="5"/>
  <c r="H437" i="5"/>
  <c r="G523"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X215"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J233" i="5"/>
  <c r="G1424" i="5"/>
  <c r="F1392" i="5"/>
  <c r="F1360" i="5"/>
  <c r="J1351" i="5"/>
  <c r="I2274" i="5"/>
  <c r="R1260" i="5"/>
  <c r="J1223" i="5"/>
  <c r="J1630" i="5"/>
  <c r="H1160" i="5"/>
  <c r="E1374" i="5"/>
  <c r="X1374" i="5" s="1"/>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R2354" i="5"/>
  <c r="R2466" i="5"/>
  <c r="J2446" i="5"/>
  <c r="F1239" i="5"/>
  <c r="G547" i="5"/>
  <c r="R499" i="5"/>
  <c r="R531" i="5"/>
  <c r="J531" i="5"/>
  <c r="E225" i="5"/>
  <c r="X225" i="5" s="1"/>
  <c r="R273" i="5"/>
  <c r="I289" i="5"/>
  <c r="H313" i="5"/>
  <c r="I409" i="5"/>
  <c r="F409" i="5"/>
  <c r="F451" i="5"/>
  <c r="H499" i="5"/>
  <c r="I385" i="5"/>
  <c r="E233" i="5"/>
  <c r="X233" i="5" s="1"/>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R225" i="5"/>
  <c r="E273" i="5"/>
  <c r="X273" i="5" s="1"/>
  <c r="G289" i="5"/>
  <c r="R305" i="5"/>
  <c r="J409" i="5"/>
  <c r="E451" i="5"/>
  <c r="X451" i="5" s="1"/>
  <c r="I249" i="5"/>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R216" i="5"/>
  <c r="X21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J225"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16"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14"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T216" i="5"/>
  <c r="T214"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15" i="5"/>
  <c r="T117" i="5"/>
  <c r="S214" i="5"/>
  <c r="S215" i="5"/>
  <c r="S117" i="5"/>
  <c r="S216" i="5"/>
  <c r="V144" i="5" l="1"/>
  <c r="X144" i="5" s="1"/>
  <c r="V10" i="5"/>
  <c r="R10" i="5" s="1"/>
  <c r="V14" i="5"/>
  <c r="R14" i="5" s="1"/>
  <c r="V30" i="5"/>
  <c r="R30" i="5" s="1"/>
  <c r="V42" i="5"/>
  <c r="R42" i="5" s="1"/>
  <c r="V46" i="5"/>
  <c r="R46" i="5" s="1"/>
  <c r="V62" i="5"/>
  <c r="V78" i="5"/>
  <c r="V86" i="5"/>
  <c r="V90" i="5"/>
  <c r="R90" i="5" s="1"/>
  <c r="V126" i="5"/>
  <c r="R126" i="5" s="1"/>
  <c r="V142" i="5"/>
  <c r="V158" i="5"/>
  <c r="R158" i="5" s="1"/>
  <c r="V32" i="5"/>
  <c r="R32" i="5" s="1"/>
  <c r="V64" i="5"/>
  <c r="R64" i="5" s="1"/>
  <c r="V195" i="5"/>
  <c r="R195" i="5" s="1"/>
  <c r="V203" i="5"/>
  <c r="R203" i="5" s="1"/>
  <c r="X78" i="5"/>
  <c r="X203" i="5"/>
  <c r="R62" i="5"/>
  <c r="X62" i="5"/>
  <c r="X10" i="5"/>
  <c r="X30" i="5"/>
  <c r="X42" i="5"/>
  <c r="R86" i="5"/>
  <c r="X86" i="5"/>
  <c r="X158" i="5"/>
  <c r="X214" i="5"/>
  <c r="X14" i="5"/>
  <c r="X46" i="5"/>
  <c r="X126" i="5"/>
  <c r="R142" i="5"/>
  <c r="X142" i="5"/>
  <c r="X195" i="5"/>
  <c r="C9" i="6"/>
  <c r="C12" i="6"/>
  <c r="C13" i="6"/>
  <c r="C7" i="6"/>
  <c r="C10" i="6"/>
  <c r="C11" i="6"/>
  <c r="C8" i="6"/>
  <c r="C4" i="6"/>
  <c r="C5"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36" i="6" s="1"/>
  <c r="B30" i="6"/>
  <c r="F41" i="6"/>
  <c r="B41" i="6"/>
  <c r="G41" i="6" s="1"/>
  <c r="F63"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5" i="6"/>
  <c r="D25" i="6"/>
  <c r="X32" i="5" l="1"/>
  <c r="AB99" i="5"/>
  <c r="AB91" i="5"/>
  <c r="AB83" i="5"/>
  <c r="AB75" i="5"/>
  <c r="AB67" i="5"/>
  <c r="AB59" i="5"/>
  <c r="AB51" i="5"/>
  <c r="AB43" i="5"/>
  <c r="AB35" i="5"/>
  <c r="AB27" i="5"/>
  <c r="AB19" i="5"/>
  <c r="AB11" i="5"/>
  <c r="V198" i="5"/>
  <c r="V208" i="5"/>
  <c r="V147" i="5"/>
  <c r="V110" i="5"/>
  <c r="V175" i="5"/>
  <c r="V210" i="5"/>
  <c r="V213" i="5"/>
  <c r="V157" i="5"/>
  <c r="V125" i="5"/>
  <c r="V68" i="5"/>
  <c r="AB222" i="5"/>
  <c r="AB194" i="5"/>
  <c r="V166" i="5"/>
  <c r="V134" i="5"/>
  <c r="V87" i="5"/>
  <c r="V55" i="5"/>
  <c r="V39" i="5"/>
  <c r="V23" i="5"/>
  <c r="V7" i="5"/>
  <c r="AB219" i="5"/>
  <c r="AB201" i="5"/>
  <c r="AB185" i="5"/>
  <c r="V148" i="5"/>
  <c r="AB154" i="5"/>
  <c r="AB138" i="5"/>
  <c r="AB122" i="5"/>
  <c r="AB106" i="5"/>
  <c r="AB90" i="5"/>
  <c r="AB74" i="5"/>
  <c r="AB50" i="5"/>
  <c r="AB34" i="5"/>
  <c r="AB18" i="5"/>
  <c r="AB165" i="5"/>
  <c r="AB149" i="5"/>
  <c r="AB133" i="5"/>
  <c r="AB125" i="5"/>
  <c r="AB107" i="5"/>
  <c r="V194" i="5"/>
  <c r="V204" i="5"/>
  <c r="V171" i="5"/>
  <c r="V139" i="5"/>
  <c r="V100" i="5"/>
  <c r="AB200" i="5"/>
  <c r="AB184" i="5"/>
  <c r="V146" i="5"/>
  <c r="V115" i="5"/>
  <c r="V83" i="5"/>
  <c r="V102" i="5"/>
  <c r="V70" i="5"/>
  <c r="V38" i="5"/>
  <c r="V22" i="5"/>
  <c r="V6" i="5"/>
  <c r="AB207" i="5"/>
  <c r="AB183" i="5"/>
  <c r="V109" i="5"/>
  <c r="V61" i="5"/>
  <c r="V45" i="5"/>
  <c r="V29" i="5"/>
  <c r="V13" i="5"/>
  <c r="AB160" i="5"/>
  <c r="AB152" i="5"/>
  <c r="AB144" i="5"/>
  <c r="AB136" i="5"/>
  <c r="AB128" i="5"/>
  <c r="AB120" i="5"/>
  <c r="AB112" i="5"/>
  <c r="AB104" i="5"/>
  <c r="AB96" i="5"/>
  <c r="AB88" i="5"/>
  <c r="AB80" i="5"/>
  <c r="AB72" i="5"/>
  <c r="AB64" i="5"/>
  <c r="AB56" i="5"/>
  <c r="AB48" i="5"/>
  <c r="AB40" i="5"/>
  <c r="AB32" i="5"/>
  <c r="AB24" i="5"/>
  <c r="AB16" i="5"/>
  <c r="AB8" i="5"/>
  <c r="AB171" i="5"/>
  <c r="AB163" i="5"/>
  <c r="AB155" i="5"/>
  <c r="AB147" i="5"/>
  <c r="AB139" i="5"/>
  <c r="AB131" i="5"/>
  <c r="AB123" i="5"/>
  <c r="AB113" i="5"/>
  <c r="AB105" i="5"/>
  <c r="AB97" i="5"/>
  <c r="AB89" i="5"/>
  <c r="AB81" i="5"/>
  <c r="AB73" i="5"/>
  <c r="AB65" i="5"/>
  <c r="AB57" i="5"/>
  <c r="AB49" i="5"/>
  <c r="AB41" i="5"/>
  <c r="AB33" i="5"/>
  <c r="AB25" i="5"/>
  <c r="AB17" i="5"/>
  <c r="AB9" i="5"/>
  <c r="X64" i="5"/>
  <c r="V219" i="5"/>
  <c r="V186" i="5"/>
  <c r="V127" i="5"/>
  <c r="V217" i="5"/>
  <c r="V200" i="5"/>
  <c r="V184" i="5"/>
  <c r="V163" i="5"/>
  <c r="V131" i="5"/>
  <c r="V220" i="5"/>
  <c r="V199" i="5"/>
  <c r="V183" i="5"/>
  <c r="V161" i="5"/>
  <c r="V129" i="5"/>
  <c r="V96" i="5"/>
  <c r="V190" i="5"/>
  <c r="V143" i="5"/>
  <c r="V222" i="5"/>
  <c r="V205" i="5"/>
  <c r="V189" i="5"/>
  <c r="V172" i="5"/>
  <c r="V141" i="5"/>
  <c r="V104" i="5"/>
  <c r="V76" i="5"/>
  <c r="V60" i="5"/>
  <c r="V44" i="5"/>
  <c r="V28" i="5"/>
  <c r="V12" i="5"/>
  <c r="AB218" i="5"/>
  <c r="AB206" i="5"/>
  <c r="AB198" i="5"/>
  <c r="AB190" i="5"/>
  <c r="AB182" i="5"/>
  <c r="V173" i="5"/>
  <c r="V111" i="5"/>
  <c r="V95" i="5"/>
  <c r="V79" i="5"/>
  <c r="V63" i="5"/>
  <c r="V47" i="5"/>
  <c r="V31" i="5"/>
  <c r="V15" i="5"/>
  <c r="V98" i="5"/>
  <c r="V82" i="5"/>
  <c r="V66" i="5"/>
  <c r="V50" i="5"/>
  <c r="V34" i="5"/>
  <c r="V18" i="5"/>
  <c r="AB223" i="5"/>
  <c r="AB213" i="5"/>
  <c r="AB205" i="5"/>
  <c r="AB197" i="5"/>
  <c r="AB189" i="5"/>
  <c r="AB181" i="5"/>
  <c r="AB172" i="5"/>
  <c r="V156" i="5"/>
  <c r="V140" i="5"/>
  <c r="V124" i="5"/>
  <c r="V105" i="5"/>
  <c r="V89" i="5"/>
  <c r="V73" i="5"/>
  <c r="V57" i="5"/>
  <c r="V41" i="5"/>
  <c r="V25" i="5"/>
  <c r="V9" i="5"/>
  <c r="AB166" i="5"/>
  <c r="AB158" i="5"/>
  <c r="AB150" i="5"/>
  <c r="AB142" i="5"/>
  <c r="AB134" i="5"/>
  <c r="AB126" i="5"/>
  <c r="AB118" i="5"/>
  <c r="AB110" i="5"/>
  <c r="AB102" i="5"/>
  <c r="AB94" i="5"/>
  <c r="AB86" i="5"/>
  <c r="AB78" i="5"/>
  <c r="AB70" i="5"/>
  <c r="AB62" i="5"/>
  <c r="AB54" i="5"/>
  <c r="AB46" i="5"/>
  <c r="AB38" i="5"/>
  <c r="AB30" i="5"/>
  <c r="AB22" i="5"/>
  <c r="AB14" i="5"/>
  <c r="AB6" i="5"/>
  <c r="AB169" i="5"/>
  <c r="AB161" i="5"/>
  <c r="AB153" i="5"/>
  <c r="AB145" i="5"/>
  <c r="AB137" i="5"/>
  <c r="AB129" i="5"/>
  <c r="AB121" i="5"/>
  <c r="AB111" i="5"/>
  <c r="AB103" i="5"/>
  <c r="AB95" i="5"/>
  <c r="AB87" i="5"/>
  <c r="AB79" i="5"/>
  <c r="AB71" i="5"/>
  <c r="AB63" i="5"/>
  <c r="AB55" i="5"/>
  <c r="AB47" i="5"/>
  <c r="AB39" i="5"/>
  <c r="AB31" i="5"/>
  <c r="AB23" i="5"/>
  <c r="AB15" i="5"/>
  <c r="AB7" i="5"/>
  <c r="V167" i="5"/>
  <c r="V92" i="5"/>
  <c r="V192" i="5"/>
  <c r="V176" i="5"/>
  <c r="V207" i="5"/>
  <c r="V191" i="5"/>
  <c r="V145" i="5"/>
  <c r="V116" i="5"/>
  <c r="AB174" i="5"/>
  <c r="V119" i="5"/>
  <c r="V197" i="5"/>
  <c r="V181" i="5"/>
  <c r="V84" i="5"/>
  <c r="V52" i="5"/>
  <c r="V36" i="5"/>
  <c r="V20" i="5"/>
  <c r="AB210" i="5"/>
  <c r="AB202" i="5"/>
  <c r="AB186" i="5"/>
  <c r="AB178" i="5"/>
  <c r="V150" i="5"/>
  <c r="V118" i="5"/>
  <c r="V103" i="5"/>
  <c r="V71" i="5"/>
  <c r="V74" i="5"/>
  <c r="V58" i="5"/>
  <c r="V26" i="5"/>
  <c r="AB209" i="5"/>
  <c r="AB193" i="5"/>
  <c r="AB177" i="5"/>
  <c r="V164" i="5"/>
  <c r="V132" i="5"/>
  <c r="V113" i="5"/>
  <c r="V97" i="5"/>
  <c r="V81" i="5"/>
  <c r="V65" i="5"/>
  <c r="V49" i="5"/>
  <c r="V33" i="5"/>
  <c r="V17" i="5"/>
  <c r="AB170" i="5"/>
  <c r="AB162" i="5"/>
  <c r="AB146" i="5"/>
  <c r="AB130" i="5"/>
  <c r="AB114" i="5"/>
  <c r="AB98" i="5"/>
  <c r="AB82" i="5"/>
  <c r="AB66" i="5"/>
  <c r="AB58" i="5"/>
  <c r="AB42" i="5"/>
  <c r="AB26" i="5"/>
  <c r="AB10" i="5"/>
  <c r="AB173" i="5"/>
  <c r="AB157" i="5"/>
  <c r="AB141" i="5"/>
  <c r="AB115" i="5"/>
  <c r="V151" i="5"/>
  <c r="V221" i="5"/>
  <c r="V188" i="5"/>
  <c r="V187" i="5"/>
  <c r="V169" i="5"/>
  <c r="V137" i="5"/>
  <c r="V108" i="5"/>
  <c r="V202" i="5"/>
  <c r="V159" i="5"/>
  <c r="V106" i="5"/>
  <c r="V209" i="5"/>
  <c r="V193" i="5"/>
  <c r="V177" i="5"/>
  <c r="V149" i="5"/>
  <c r="V112" i="5"/>
  <c r="V80" i="5"/>
  <c r="V48" i="5"/>
  <c r="V16" i="5"/>
  <c r="AB220" i="5"/>
  <c r="AB208" i="5"/>
  <c r="AB192" i="5"/>
  <c r="AB176" i="5"/>
  <c r="V162" i="5"/>
  <c r="V130" i="5"/>
  <c r="V99" i="5"/>
  <c r="V67" i="5"/>
  <c r="V51" i="5"/>
  <c r="V35" i="5"/>
  <c r="V19" i="5"/>
  <c r="V54" i="5"/>
  <c r="AB217" i="5"/>
  <c r="AB199" i="5"/>
  <c r="AB191" i="5"/>
  <c r="V174" i="5"/>
  <c r="V160" i="5"/>
  <c r="V128" i="5"/>
  <c r="V93" i="5"/>
  <c r="V77" i="5"/>
  <c r="AB168" i="5"/>
  <c r="X90" i="5"/>
  <c r="V206" i="5"/>
  <c r="V178" i="5"/>
  <c r="V114" i="5"/>
  <c r="V212" i="5"/>
  <c r="V196" i="5"/>
  <c r="V180" i="5"/>
  <c r="V155" i="5"/>
  <c r="V123" i="5"/>
  <c r="V211" i="5"/>
  <c r="V179" i="5"/>
  <c r="V153" i="5"/>
  <c r="V121" i="5"/>
  <c r="V223" i="5"/>
  <c r="V182" i="5"/>
  <c r="V135" i="5"/>
  <c r="V218" i="5"/>
  <c r="V201" i="5"/>
  <c r="V185" i="5"/>
  <c r="V165" i="5"/>
  <c r="V133" i="5"/>
  <c r="V88" i="5"/>
  <c r="V72" i="5"/>
  <c r="V56" i="5"/>
  <c r="V40" i="5"/>
  <c r="V24" i="5"/>
  <c r="V8" i="5"/>
  <c r="AB212" i="5"/>
  <c r="AB204" i="5"/>
  <c r="AB196" i="5"/>
  <c r="AB188" i="5"/>
  <c r="AB180" i="5"/>
  <c r="V170" i="5"/>
  <c r="V154" i="5"/>
  <c r="V138" i="5"/>
  <c r="V122" i="5"/>
  <c r="V107" i="5"/>
  <c r="V91" i="5"/>
  <c r="V75" i="5"/>
  <c r="V59" i="5"/>
  <c r="V43" i="5"/>
  <c r="V27" i="5"/>
  <c r="V11" i="5"/>
  <c r="V94" i="5"/>
  <c r="AB221" i="5"/>
  <c r="AB211" i="5"/>
  <c r="AB203" i="5"/>
  <c r="AB195" i="5"/>
  <c r="AB187" i="5"/>
  <c r="AB179" i="5"/>
  <c r="V168" i="5"/>
  <c r="V152" i="5"/>
  <c r="V136" i="5"/>
  <c r="V120" i="5"/>
  <c r="V101" i="5"/>
  <c r="V85" i="5"/>
  <c r="V69" i="5"/>
  <c r="V53" i="5"/>
  <c r="V37" i="5"/>
  <c r="V21" i="5"/>
  <c r="V5" i="5"/>
  <c r="AB164" i="5"/>
  <c r="AB156" i="5"/>
  <c r="AB148" i="5"/>
  <c r="AB140" i="5"/>
  <c r="AB132" i="5"/>
  <c r="AB124" i="5"/>
  <c r="AB116" i="5"/>
  <c r="AB108" i="5"/>
  <c r="AB100" i="5"/>
  <c r="AB92" i="5"/>
  <c r="AB84" i="5"/>
  <c r="AB76" i="5"/>
  <c r="AB68" i="5"/>
  <c r="AB60" i="5"/>
  <c r="AB52" i="5"/>
  <c r="AB44" i="5"/>
  <c r="AB36" i="5"/>
  <c r="AB28" i="5"/>
  <c r="AB20" i="5"/>
  <c r="AB12" i="5"/>
  <c r="AB175" i="5"/>
  <c r="AB167" i="5"/>
  <c r="AB159" i="5"/>
  <c r="AB151" i="5"/>
  <c r="AB143" i="5"/>
  <c r="AB135" i="5"/>
  <c r="AB127" i="5"/>
  <c r="AB119" i="5"/>
  <c r="AB109" i="5"/>
  <c r="AB101" i="5"/>
  <c r="AB93" i="5"/>
  <c r="AB85" i="5"/>
  <c r="AB77" i="5"/>
  <c r="AB69" i="5"/>
  <c r="AB61" i="5"/>
  <c r="AB53" i="5"/>
  <c r="AB45" i="5"/>
  <c r="AB37" i="5"/>
  <c r="AB29" i="5"/>
  <c r="AB21" i="5"/>
  <c r="AB13" i="5"/>
  <c r="AB5" i="5"/>
  <c r="H37" i="6"/>
  <c r="H42" i="6"/>
  <c r="C42" i="6" s="1"/>
  <c r="K64" i="6"/>
  <c r="H47" i="6"/>
  <c r="D47" i="6" s="1"/>
  <c r="H36" i="6"/>
  <c r="C36" i="6" s="1"/>
  <c r="H41" i="6"/>
  <c r="D41" i="6" s="1"/>
  <c r="F50" i="6"/>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F66" i="6"/>
  <c r="X621" i="5"/>
  <c r="C27" i="6"/>
  <c r="D27" i="6"/>
  <c r="F56" i="6"/>
  <c r="H56" i="6" s="1"/>
  <c r="F59" i="6"/>
  <c r="H59" i="6" s="1"/>
  <c r="F54" i="6"/>
  <c r="H54" i="6" s="1"/>
  <c r="C54" i="6" s="1"/>
  <c r="F51" i="6"/>
  <c r="F55" i="6"/>
  <c r="H55" i="6" s="1"/>
  <c r="F60" i="6"/>
  <c r="H60" i="6" s="1"/>
  <c r="F58" i="6"/>
  <c r="H58" i="6" s="1"/>
  <c r="F53" i="6"/>
  <c r="H53" i="6" s="1"/>
  <c r="H50" i="6"/>
  <c r="C61" i="6"/>
  <c r="D61" i="6"/>
  <c r="C37" i="6"/>
  <c r="D37" i="6"/>
  <c r="T14" i="5"/>
  <c r="T172" i="5"/>
  <c r="T90" i="5"/>
  <c r="S14" i="5"/>
  <c r="T144" i="5"/>
  <c r="T42" i="5"/>
  <c r="T195" i="5"/>
  <c r="S203" i="5"/>
  <c r="T46" i="5"/>
  <c r="S126" i="5"/>
  <c r="S158" i="5"/>
  <c r="S42" i="5"/>
  <c r="S32" i="5"/>
  <c r="T32" i="5"/>
  <c r="S144" i="5"/>
  <c r="T158" i="5"/>
  <c r="S78" i="5"/>
  <c r="S142" i="5"/>
  <c r="S195" i="5"/>
  <c r="S30" i="5"/>
  <c r="S86" i="5"/>
  <c r="T126" i="5"/>
  <c r="S172" i="5"/>
  <c r="S10" i="5"/>
  <c r="T10" i="5"/>
  <c r="T78" i="5"/>
  <c r="S46" i="5"/>
  <c r="T203" i="5"/>
  <c r="S62" i="5"/>
  <c r="T64" i="5"/>
  <c r="T142" i="5"/>
  <c r="T62" i="5"/>
  <c r="T30" i="5"/>
  <c r="T86" i="5"/>
  <c r="R136" i="5" l="1"/>
  <c r="R43" i="5"/>
  <c r="R5" i="5"/>
  <c r="R107" i="5"/>
  <c r="R138" i="5"/>
  <c r="R69" i="5"/>
  <c r="R88" i="5"/>
  <c r="R135" i="5"/>
  <c r="R155" i="5"/>
  <c r="R99" i="5"/>
  <c r="R106" i="5"/>
  <c r="R221" i="5"/>
  <c r="R33" i="5"/>
  <c r="R97" i="5"/>
  <c r="R103" i="5"/>
  <c r="R36" i="5"/>
  <c r="R167" i="5"/>
  <c r="R57" i="5"/>
  <c r="R141" i="5"/>
  <c r="R222" i="5"/>
  <c r="R96" i="5"/>
  <c r="R186" i="5"/>
  <c r="R45" i="5"/>
  <c r="R70" i="5"/>
  <c r="R139" i="5"/>
  <c r="R194" i="5"/>
  <c r="R213" i="5"/>
  <c r="R53" i="5"/>
  <c r="R91" i="5"/>
  <c r="R72" i="5"/>
  <c r="R165" i="5"/>
  <c r="R121" i="5"/>
  <c r="R212" i="5"/>
  <c r="R93" i="5"/>
  <c r="R54" i="5"/>
  <c r="R67" i="5"/>
  <c r="R130" i="5"/>
  <c r="R16" i="5"/>
  <c r="R188" i="5"/>
  <c r="R81" i="5"/>
  <c r="R71" i="5"/>
  <c r="R20" i="5"/>
  <c r="R84" i="5"/>
  <c r="R119" i="5"/>
  <c r="R41" i="5"/>
  <c r="R105" i="5"/>
  <c r="R50" i="5"/>
  <c r="R31" i="5"/>
  <c r="R173" i="5"/>
  <c r="R28" i="5"/>
  <c r="R104" i="5"/>
  <c r="R205" i="5"/>
  <c r="R190" i="5"/>
  <c r="R183" i="5"/>
  <c r="R163" i="5"/>
  <c r="R127" i="5"/>
  <c r="R219" i="5"/>
  <c r="R38" i="5"/>
  <c r="R115" i="5"/>
  <c r="R204" i="5"/>
  <c r="R23" i="5"/>
  <c r="R134" i="5"/>
  <c r="R157" i="5"/>
  <c r="R110" i="5"/>
  <c r="R198" i="5"/>
  <c r="R39" i="5"/>
  <c r="R147" i="5"/>
  <c r="R27" i="5"/>
  <c r="R8" i="5"/>
  <c r="R37" i="5"/>
  <c r="R101" i="5"/>
  <c r="R168" i="5"/>
  <c r="R11" i="5"/>
  <c r="R75" i="5"/>
  <c r="R154" i="5"/>
  <c r="R24" i="5"/>
  <c r="R56" i="5"/>
  <c r="R133" i="5"/>
  <c r="R201" i="5"/>
  <c r="R223" i="5"/>
  <c r="R211" i="5"/>
  <c r="R196" i="5"/>
  <c r="R114" i="5"/>
  <c r="R206" i="5"/>
  <c r="R77" i="5"/>
  <c r="R160" i="5"/>
  <c r="R51" i="5"/>
  <c r="R162" i="5"/>
  <c r="R112" i="5"/>
  <c r="R193" i="5"/>
  <c r="R202" i="5"/>
  <c r="R187" i="5"/>
  <c r="R17" i="5"/>
  <c r="R65" i="5"/>
  <c r="R113" i="5"/>
  <c r="R74" i="5"/>
  <c r="R150" i="5"/>
  <c r="R52" i="5"/>
  <c r="R197" i="5"/>
  <c r="R145" i="5"/>
  <c r="R192" i="5"/>
  <c r="R25" i="5"/>
  <c r="R89" i="5"/>
  <c r="R156" i="5"/>
  <c r="R66" i="5"/>
  <c r="R63" i="5"/>
  <c r="R111" i="5"/>
  <c r="R12" i="5"/>
  <c r="R76" i="5"/>
  <c r="R189" i="5"/>
  <c r="R161" i="5"/>
  <c r="R131" i="5"/>
  <c r="R217" i="5"/>
  <c r="R29" i="5"/>
  <c r="R109" i="5"/>
  <c r="R22" i="5"/>
  <c r="R83" i="5"/>
  <c r="R146" i="5"/>
  <c r="R100" i="5"/>
  <c r="R87" i="5"/>
  <c r="R125" i="5"/>
  <c r="R175" i="5"/>
  <c r="R208" i="5"/>
  <c r="R153" i="5"/>
  <c r="R128" i="5"/>
  <c r="R19" i="5"/>
  <c r="R48" i="5"/>
  <c r="R137" i="5"/>
  <c r="R164" i="5"/>
  <c r="R26" i="5"/>
  <c r="R207" i="5"/>
  <c r="R124" i="5"/>
  <c r="R34" i="5"/>
  <c r="R98" i="5"/>
  <c r="R47" i="5"/>
  <c r="R79" i="5"/>
  <c r="R44" i="5"/>
  <c r="R199" i="5"/>
  <c r="R184" i="5"/>
  <c r="R218" i="5"/>
  <c r="R123" i="5"/>
  <c r="R174" i="5"/>
  <c r="R149" i="5"/>
  <c r="R209" i="5"/>
  <c r="R108" i="5"/>
  <c r="R132" i="5"/>
  <c r="R191" i="5"/>
  <c r="R92" i="5"/>
  <c r="R21" i="5"/>
  <c r="R85" i="5"/>
  <c r="R120" i="5"/>
  <c r="R152" i="5"/>
  <c r="R94" i="5"/>
  <c r="R59" i="5"/>
  <c r="R122" i="5"/>
  <c r="R170" i="5"/>
  <c r="R40" i="5"/>
  <c r="R185" i="5"/>
  <c r="R182" i="5"/>
  <c r="R179" i="5"/>
  <c r="R180" i="5"/>
  <c r="R178" i="5"/>
  <c r="R35" i="5"/>
  <c r="R80" i="5"/>
  <c r="R177" i="5"/>
  <c r="R159" i="5"/>
  <c r="R169" i="5"/>
  <c r="R151" i="5"/>
  <c r="R49" i="5"/>
  <c r="R58" i="5"/>
  <c r="R118" i="5"/>
  <c r="R181" i="5"/>
  <c r="R116" i="5"/>
  <c r="R176" i="5"/>
  <c r="R9" i="5"/>
  <c r="R73" i="5"/>
  <c r="R140" i="5"/>
  <c r="R18" i="5"/>
  <c r="R82" i="5"/>
  <c r="R15" i="5"/>
  <c r="R95" i="5"/>
  <c r="R60" i="5"/>
  <c r="X172" i="5"/>
  <c r="R172" i="5"/>
  <c r="R143" i="5"/>
  <c r="R129" i="5"/>
  <c r="R220" i="5"/>
  <c r="R200" i="5"/>
  <c r="R13" i="5"/>
  <c r="R61" i="5"/>
  <c r="R6" i="5"/>
  <c r="R102" i="5"/>
  <c r="R171" i="5"/>
  <c r="R148" i="5"/>
  <c r="R7" i="5"/>
  <c r="R55" i="5"/>
  <c r="R166" i="5"/>
  <c r="R68" i="5"/>
  <c r="R210" i="5"/>
  <c r="D32" i="6"/>
  <c r="D42" i="6"/>
  <c r="D36" i="6"/>
  <c r="C41" i="6"/>
  <c r="C47" i="6"/>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76" i="5"/>
  <c r="T183" i="5"/>
  <c r="T22" i="5"/>
  <c r="T182" i="5"/>
  <c r="T23" i="5"/>
  <c r="T199" i="5"/>
  <c r="T163" i="5"/>
  <c r="T161" i="5"/>
  <c r="T6" i="5"/>
  <c r="T149" i="5"/>
  <c r="T186" i="5"/>
  <c r="T160" i="5"/>
  <c r="T60" i="5"/>
  <c r="T107" i="5"/>
  <c r="T198" i="5"/>
  <c r="T98" i="5"/>
  <c r="T140" i="5"/>
  <c r="T180" i="5"/>
  <c r="T57" i="5"/>
  <c r="T133" i="5"/>
  <c r="T26" i="5"/>
  <c r="T209" i="5"/>
  <c r="T179" i="5"/>
  <c r="T67" i="5"/>
  <c r="T52" i="5"/>
  <c r="T72" i="5"/>
  <c r="T70" i="5"/>
  <c r="T25" i="5"/>
  <c r="T40" i="5"/>
  <c r="T213" i="5"/>
  <c r="T153" i="5"/>
  <c r="T185" i="5"/>
  <c r="T103" i="5"/>
  <c r="T17" i="5"/>
  <c r="T21" i="5"/>
  <c r="T119" i="5"/>
  <c r="T206" i="5"/>
  <c r="T173" i="5"/>
  <c r="T189" i="5"/>
  <c r="T170" i="5"/>
  <c r="T105" i="5"/>
  <c r="T168" i="5"/>
  <c r="T136" i="5"/>
  <c r="T166" i="5"/>
  <c r="T162" i="5"/>
  <c r="T200" i="5"/>
  <c r="T134" i="5"/>
  <c r="T48" i="5"/>
  <c r="T116" i="5"/>
  <c r="T34" i="5"/>
  <c r="T36" i="5"/>
  <c r="T154" i="5"/>
  <c r="T208" i="5"/>
  <c r="T175" i="5"/>
  <c r="T120" i="5"/>
  <c r="T93" i="5"/>
  <c r="T150" i="5"/>
  <c r="T53" i="5"/>
  <c r="T139" i="5"/>
  <c r="T24" i="5"/>
  <c r="T92" i="5"/>
  <c r="T61" i="5"/>
  <c r="T88" i="5"/>
  <c r="T54" i="5"/>
  <c r="T202" i="5"/>
  <c r="T178" i="5"/>
  <c r="T171" i="5"/>
  <c r="T43" i="5"/>
  <c r="T157" i="5"/>
  <c r="T207" i="5"/>
  <c r="T131" i="5"/>
  <c r="T28" i="5"/>
  <c r="T146" i="5"/>
  <c r="T191" i="5"/>
  <c r="T147" i="5"/>
  <c r="T71" i="5"/>
  <c r="T49" i="5"/>
  <c r="T81" i="5"/>
  <c r="T156" i="5"/>
  <c r="T99" i="5"/>
  <c r="T111" i="5"/>
  <c r="T220" i="5"/>
  <c r="T115" i="5"/>
  <c r="T128" i="5"/>
  <c r="T151" i="5"/>
  <c r="T89" i="5"/>
  <c r="T205" i="5"/>
  <c r="T121" i="5"/>
  <c r="T33" i="5"/>
  <c r="T75" i="5"/>
  <c r="T218" i="5"/>
  <c r="T13" i="5"/>
  <c r="T69" i="5"/>
  <c r="T212" i="5"/>
  <c r="T51" i="5"/>
  <c r="T85" i="5"/>
  <c r="T95" i="5"/>
  <c r="T68" i="5"/>
  <c r="S90" i="5"/>
  <c r="T100" i="5"/>
  <c r="T63" i="5"/>
  <c r="T31" i="5"/>
  <c r="T66" i="5"/>
  <c r="T122" i="5"/>
  <c r="T188" i="5"/>
  <c r="T197" i="5"/>
  <c r="T50" i="5"/>
  <c r="T74" i="5"/>
  <c r="T9" i="5"/>
  <c r="T29" i="5"/>
  <c r="T221" i="5"/>
  <c r="T201" i="5"/>
  <c r="T118" i="5"/>
  <c r="T97" i="5"/>
  <c r="T8" i="5"/>
  <c r="T44" i="5"/>
  <c r="T18" i="5"/>
  <c r="T196" i="5"/>
  <c r="T109" i="5"/>
  <c r="T45" i="5"/>
  <c r="T104" i="5"/>
  <c r="T177" i="5"/>
  <c r="T141" i="5"/>
  <c r="T174" i="5"/>
  <c r="T138" i="5"/>
  <c r="T39" i="5"/>
  <c r="T47" i="5"/>
  <c r="T143" i="5"/>
  <c r="T35" i="5"/>
  <c r="T80" i="5"/>
  <c r="T167" i="5"/>
  <c r="T176" i="5"/>
  <c r="T190" i="5"/>
  <c r="T184" i="5"/>
  <c r="T5" i="5"/>
  <c r="T101" i="5"/>
  <c r="T73" i="5"/>
  <c r="T77" i="5"/>
  <c r="T124" i="5"/>
  <c r="T130" i="5"/>
  <c r="T129" i="5"/>
  <c r="T108" i="5"/>
  <c r="T125" i="5"/>
  <c r="T79" i="5"/>
  <c r="T135" i="5"/>
  <c r="T27" i="5"/>
  <c r="T84" i="5"/>
  <c r="T192" i="5"/>
  <c r="T59" i="5"/>
  <c r="T194" i="5"/>
  <c r="T222" i="5"/>
  <c r="T20" i="5"/>
  <c r="T65" i="5"/>
  <c r="T181" i="5"/>
  <c r="T56" i="5"/>
  <c r="T106" i="5"/>
  <c r="T11" i="5"/>
  <c r="T58" i="5"/>
  <c r="T113" i="5"/>
  <c r="T127" i="5"/>
  <c r="T83" i="5"/>
  <c r="T169" i="5"/>
  <c r="T110" i="5"/>
  <c r="T123" i="5"/>
  <c r="T38" i="5"/>
  <c r="T217" i="5"/>
  <c r="T148" i="5"/>
  <c r="T132" i="5"/>
  <c r="S64" i="5"/>
  <c r="T112" i="5"/>
  <c r="T55" i="5"/>
  <c r="T12" i="5"/>
  <c r="T187" i="5"/>
  <c r="T15" i="5"/>
  <c r="T155" i="5"/>
  <c r="T145" i="5"/>
  <c r="T19" i="5"/>
  <c r="T137" i="5"/>
  <c r="T211" i="5"/>
  <c r="T219" i="5"/>
  <c r="T91" i="5"/>
  <c r="T82" i="5"/>
  <c r="T165" i="5"/>
  <c r="T114" i="5"/>
  <c r="T152" i="5"/>
  <c r="T96" i="5"/>
  <c r="T159" i="5"/>
  <c r="T7" i="5"/>
  <c r="T16" i="5"/>
  <c r="T210" i="5"/>
  <c r="T204" i="5"/>
  <c r="T94" i="5"/>
  <c r="T164" i="5"/>
  <c r="T87" i="5"/>
  <c r="T102" i="5"/>
  <c r="T41" i="5"/>
  <c r="T193" i="5"/>
  <c r="T37" i="5"/>
  <c r="T223" i="5"/>
  <c r="X129" i="5" l="1"/>
  <c r="X15" i="5"/>
  <c r="X208" i="5"/>
  <c r="X189" i="5"/>
  <c r="X66" i="5"/>
  <c r="X156" i="5"/>
  <c r="X114" i="5"/>
  <c r="X196" i="5"/>
  <c r="X211" i="5"/>
  <c r="X39" i="5"/>
  <c r="X198" i="5"/>
  <c r="X55" i="5"/>
  <c r="X148" i="5"/>
  <c r="X68" i="5"/>
  <c r="X143" i="5"/>
  <c r="X140" i="5"/>
  <c r="X116" i="5"/>
  <c r="X181" i="5"/>
  <c r="X49" i="5"/>
  <c r="X151" i="5"/>
  <c r="X159" i="5"/>
  <c r="X177" i="5"/>
  <c r="X80" i="5"/>
  <c r="X178" i="5"/>
  <c r="X179" i="5"/>
  <c r="X123" i="5"/>
  <c r="X184" i="5"/>
  <c r="X47" i="5"/>
  <c r="X48" i="5"/>
  <c r="X19" i="5"/>
  <c r="X128" i="5"/>
  <c r="X83" i="5"/>
  <c r="X22" i="5"/>
  <c r="X109" i="5"/>
  <c r="X161" i="5"/>
  <c r="X25" i="5"/>
  <c r="X192" i="5"/>
  <c r="X74" i="5"/>
  <c r="X65" i="5"/>
  <c r="X206" i="5"/>
  <c r="X223" i="5"/>
  <c r="X133" i="5"/>
  <c r="X24" i="5"/>
  <c r="X8" i="5"/>
  <c r="X110" i="5"/>
  <c r="X115" i="5"/>
  <c r="X219" i="5"/>
  <c r="X163" i="5"/>
  <c r="X183" i="5"/>
  <c r="X28" i="5"/>
  <c r="X20" i="5"/>
  <c r="X53" i="5"/>
  <c r="X70" i="5"/>
  <c r="X57" i="5"/>
  <c r="X167" i="5"/>
  <c r="X103" i="5"/>
  <c r="X69" i="5"/>
  <c r="X7" i="5"/>
  <c r="X102" i="5"/>
  <c r="X6" i="5"/>
  <c r="X61" i="5"/>
  <c r="X13" i="5"/>
  <c r="X176" i="5"/>
  <c r="X169" i="5"/>
  <c r="X122" i="5"/>
  <c r="X85" i="5"/>
  <c r="X92" i="5"/>
  <c r="X191" i="5"/>
  <c r="X149" i="5"/>
  <c r="X217" i="5"/>
  <c r="X168" i="5"/>
  <c r="X101" i="5"/>
  <c r="X190" i="5"/>
  <c r="X132" i="5"/>
  <c r="X108" i="5"/>
  <c r="X210" i="5"/>
  <c r="X166" i="5"/>
  <c r="X171" i="5"/>
  <c r="X200" i="5"/>
  <c r="X220" i="5"/>
  <c r="X18" i="5"/>
  <c r="X73" i="5"/>
  <c r="X182" i="5"/>
  <c r="X185" i="5"/>
  <c r="X40" i="5"/>
  <c r="X59" i="5"/>
  <c r="X94" i="5"/>
  <c r="X152" i="5"/>
  <c r="X120" i="5"/>
  <c r="X21" i="5"/>
  <c r="X209" i="5"/>
  <c r="X199" i="5"/>
  <c r="X44" i="5"/>
  <c r="X98" i="5"/>
  <c r="X207" i="5"/>
  <c r="X137" i="5"/>
  <c r="X153" i="5"/>
  <c r="X100" i="5"/>
  <c r="X29" i="5"/>
  <c r="X76" i="5"/>
  <c r="X111" i="5"/>
  <c r="X63" i="5"/>
  <c r="X89" i="5"/>
  <c r="X145" i="5"/>
  <c r="X197" i="5"/>
  <c r="X193" i="5"/>
  <c r="X162" i="5"/>
  <c r="X75" i="5"/>
  <c r="X11" i="5"/>
  <c r="X27" i="5"/>
  <c r="X134" i="5"/>
  <c r="X127" i="5"/>
  <c r="X105" i="5"/>
  <c r="X41" i="5"/>
  <c r="X84" i="5"/>
  <c r="X130" i="5"/>
  <c r="X93" i="5"/>
  <c r="X121" i="5"/>
  <c r="X194" i="5"/>
  <c r="X139" i="5"/>
  <c r="X222" i="5"/>
  <c r="X138" i="5"/>
  <c r="X5" i="5"/>
  <c r="X218" i="5"/>
  <c r="X12" i="5"/>
  <c r="X36" i="5"/>
  <c r="X33" i="5"/>
  <c r="X221" i="5"/>
  <c r="X99" i="5"/>
  <c r="X135" i="5"/>
  <c r="X107" i="5"/>
  <c r="X136" i="5"/>
  <c r="X180" i="5"/>
  <c r="X150" i="5"/>
  <c r="X113" i="5"/>
  <c r="X17" i="5"/>
  <c r="X187" i="5"/>
  <c r="X51" i="5"/>
  <c r="X160" i="5"/>
  <c r="X77" i="5"/>
  <c r="X204" i="5"/>
  <c r="X38" i="5"/>
  <c r="X173" i="5"/>
  <c r="X31" i="5"/>
  <c r="X50" i="5"/>
  <c r="X119" i="5"/>
  <c r="X71" i="5"/>
  <c r="X16" i="5"/>
  <c r="X165" i="5"/>
  <c r="X186" i="5"/>
  <c r="X60" i="5"/>
  <c r="X95" i="5"/>
  <c r="X82" i="5"/>
  <c r="X9" i="5"/>
  <c r="X118" i="5"/>
  <c r="X58" i="5"/>
  <c r="X35" i="5"/>
  <c r="X170" i="5"/>
  <c r="X174" i="5"/>
  <c r="X79" i="5"/>
  <c r="X34" i="5"/>
  <c r="X124" i="5"/>
  <c r="X26" i="5"/>
  <c r="X164" i="5"/>
  <c r="X175" i="5"/>
  <c r="X125" i="5"/>
  <c r="X87" i="5"/>
  <c r="X146" i="5"/>
  <c r="X131" i="5"/>
  <c r="X52" i="5"/>
  <c r="X202" i="5"/>
  <c r="X112" i="5"/>
  <c r="X201" i="5"/>
  <c r="X56" i="5"/>
  <c r="X154" i="5"/>
  <c r="X37" i="5"/>
  <c r="X147" i="5"/>
  <c r="X157" i="5"/>
  <c r="X23" i="5"/>
  <c r="X205" i="5"/>
  <c r="X104" i="5"/>
  <c r="X81" i="5"/>
  <c r="X188" i="5"/>
  <c r="X67" i="5"/>
  <c r="X54" i="5"/>
  <c r="X212" i="5"/>
  <c r="X72" i="5"/>
  <c r="X91" i="5"/>
  <c r="X213" i="5"/>
  <c r="X45" i="5"/>
  <c r="X96" i="5"/>
  <c r="X141" i="5"/>
  <c r="X97" i="5"/>
  <c r="X106" i="5"/>
  <c r="X155" i="5"/>
  <c r="X88" i="5"/>
  <c r="X43" i="5"/>
  <c r="C64" i="6"/>
  <c r="C63" i="6"/>
  <c r="G66" i="6"/>
  <c r="D52" i="6"/>
  <c r="C52" i="6"/>
  <c r="D51" i="6"/>
  <c r="C51" i="6"/>
  <c r="S129" i="5"/>
  <c r="S182" i="5"/>
  <c r="S35" i="5"/>
  <c r="S159" i="5"/>
  <c r="S108" i="5"/>
  <c r="S180" i="5"/>
  <c r="S96" i="5"/>
  <c r="S25" i="5"/>
  <c r="S77" i="5"/>
  <c r="S169" i="5"/>
  <c r="S27" i="5"/>
  <c r="S186" i="5"/>
  <c r="S88" i="5"/>
  <c r="S97" i="5"/>
  <c r="S210" i="5"/>
  <c r="S85" i="5"/>
  <c r="S138" i="5"/>
  <c r="S148" i="5"/>
  <c r="S94" i="5"/>
  <c r="S175" i="5"/>
  <c r="S179" i="5"/>
  <c r="S166" i="5"/>
  <c r="S113" i="5"/>
  <c r="S67" i="5"/>
  <c r="S31" i="5"/>
  <c r="S22" i="5"/>
  <c r="S89" i="5"/>
  <c r="S104" i="5"/>
  <c r="S110" i="5"/>
  <c r="S29" i="5"/>
  <c r="S165" i="5"/>
  <c r="S106" i="5"/>
  <c r="S7" i="5"/>
  <c r="S177" i="5"/>
  <c r="S220" i="5"/>
  <c r="S218" i="5"/>
  <c r="S125" i="5"/>
  <c r="S128" i="5"/>
  <c r="S107" i="5"/>
  <c r="S55" i="5"/>
  <c r="S199" i="5"/>
  <c r="S146" i="5"/>
  <c r="S161" i="5"/>
  <c r="S197" i="5"/>
  <c r="S54" i="5"/>
  <c r="S40" i="5"/>
  <c r="S51" i="5"/>
  <c r="S68" i="5"/>
  <c r="S73" i="5"/>
  <c r="S141" i="5"/>
  <c r="S74" i="5"/>
  <c r="S87" i="5"/>
  <c r="S191" i="5"/>
  <c r="S15" i="5"/>
  <c r="S207" i="5"/>
  <c r="S219" i="5"/>
  <c r="S79" i="5"/>
  <c r="S80" i="5"/>
  <c r="S153" i="5"/>
  <c r="S202" i="5"/>
  <c r="S192" i="5"/>
  <c r="S120" i="5"/>
  <c r="S50" i="5"/>
  <c r="S9" i="5"/>
  <c r="S57" i="5"/>
  <c r="S140" i="5"/>
  <c r="S132" i="5"/>
  <c r="S139" i="5"/>
  <c r="S124" i="5"/>
  <c r="S81" i="5"/>
  <c r="S37" i="5"/>
  <c r="S193" i="5"/>
  <c r="S171" i="5"/>
  <c r="S58" i="5"/>
  <c r="S48" i="5"/>
  <c r="S111" i="5"/>
  <c r="S201" i="5"/>
  <c r="S24" i="5"/>
  <c r="S44" i="5"/>
  <c r="S23" i="5"/>
  <c r="S19" i="5"/>
  <c r="S91" i="5"/>
  <c r="S102" i="5"/>
  <c r="S5" i="5"/>
  <c r="S208" i="5"/>
  <c r="S70" i="5"/>
  <c r="S84" i="5"/>
  <c r="S26" i="5"/>
  <c r="S196" i="5"/>
  <c r="S152" i="5"/>
  <c r="S133" i="5"/>
  <c r="S21" i="5"/>
  <c r="S136" i="5"/>
  <c r="S157" i="5"/>
  <c r="S167" i="5"/>
  <c r="S154" i="5"/>
  <c r="S6" i="5"/>
  <c r="S130" i="5"/>
  <c r="S205" i="5"/>
  <c r="S61" i="5"/>
  <c r="S99" i="5"/>
  <c r="S66" i="5"/>
  <c r="S93" i="5"/>
  <c r="S109" i="5"/>
  <c r="S178" i="5"/>
  <c r="S63" i="5"/>
  <c r="S213" i="5"/>
  <c r="S36" i="5"/>
  <c r="S56" i="5"/>
  <c r="S143" i="5"/>
  <c r="S115" i="5"/>
  <c r="S17" i="5"/>
  <c r="S163" i="5"/>
  <c r="S212" i="5"/>
  <c r="S28" i="5"/>
  <c r="S204" i="5"/>
  <c r="S176" i="5"/>
  <c r="S18" i="5"/>
  <c r="S39" i="5"/>
  <c r="S170" i="5"/>
  <c r="S95" i="5"/>
  <c r="S16" i="5"/>
  <c r="S137" i="5"/>
  <c r="S65" i="5"/>
  <c r="S11" i="5"/>
  <c r="S72" i="5"/>
  <c r="S183" i="5"/>
  <c r="S134" i="5"/>
  <c r="S174" i="5"/>
  <c r="S189" i="5"/>
  <c r="S101" i="5"/>
  <c r="S123" i="5"/>
  <c r="S185" i="5"/>
  <c r="S221" i="5"/>
  <c r="S52" i="5"/>
  <c r="S71" i="5"/>
  <c r="S47" i="5"/>
  <c r="S181" i="5"/>
  <c r="S59" i="5"/>
  <c r="S164" i="5"/>
  <c r="S223" i="5"/>
  <c r="S194" i="5"/>
  <c r="S43" i="5"/>
  <c r="S20" i="5"/>
  <c r="S105" i="5"/>
  <c r="S156" i="5"/>
  <c r="S127" i="5"/>
  <c r="S150" i="5"/>
  <c r="S168" i="5"/>
  <c r="S60" i="5"/>
  <c r="S198" i="5"/>
  <c r="S92" i="5"/>
  <c r="S33" i="5"/>
  <c r="S188" i="5"/>
  <c r="S83" i="5"/>
  <c r="S75" i="5"/>
  <c r="S53" i="5"/>
  <c r="S76" i="5"/>
  <c r="S119" i="5"/>
  <c r="S45" i="5"/>
  <c r="S190" i="5"/>
  <c r="S121" i="5"/>
  <c r="S200" i="5"/>
  <c r="S118" i="5"/>
  <c r="S173" i="5"/>
  <c r="S8" i="5"/>
  <c r="S187" i="5"/>
  <c r="S69" i="5"/>
  <c r="S147" i="5"/>
  <c r="S145" i="5"/>
  <c r="S38" i="5"/>
  <c r="S103" i="5"/>
  <c r="S100" i="5"/>
  <c r="S149" i="5"/>
  <c r="S211" i="5"/>
  <c r="S12" i="5"/>
  <c r="S116" i="5"/>
  <c r="S184" i="5"/>
  <c r="S155" i="5"/>
  <c r="S13" i="5"/>
  <c r="S82" i="5"/>
  <c r="S122" i="5"/>
  <c r="S114" i="5"/>
  <c r="S222" i="5"/>
  <c r="S151" i="5"/>
  <c r="S98" i="5"/>
  <c r="S34" i="5"/>
  <c r="S112" i="5"/>
  <c r="S135" i="5"/>
  <c r="S209" i="5"/>
  <c r="S160" i="5"/>
  <c r="S206" i="5"/>
  <c r="S41" i="5"/>
  <c r="S162" i="5"/>
  <c r="S49" i="5"/>
  <c r="S131" i="5"/>
  <c r="S217" i="5"/>
  <c r="H66" i="6" l="1"/>
  <c r="H67" i="6" s="1"/>
  <c r="D2" i="6" s="1"/>
  <c r="C66"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<sst xmlns="http://schemas.openxmlformats.org/spreadsheetml/2006/main" count="23604" uniqueCount="15456">
  <si>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</si>
  <si>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</si>
  <si>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</si>
  <si>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</si>
  <si>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</si>
  <si>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</si>
  <si>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</si>
  <si>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</si>
  <si>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</si>
  <si>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</si>
  <si>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</si>
  <si>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</si>
  <si>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</si>
  <si>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</si>
  <si>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</si>
  <si>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</si>
  <si>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</si>
  <si>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</si>
  <si>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</si>
  <si>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</si>
  <si>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</si>
  <si>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</si>
  <si>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</si>
  <si>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</si>
  <si>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</si>
  <si>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</si>
  <si>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</si>
  <si>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</si>
  <si>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</si>
  <si>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</si>
  <si>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</si>
  <si>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</si>
  <si>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</si>
  <si>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</si>
  <si>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</si>
  <si>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</si>
  <si>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</si>
  <si>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</si>
  <si>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</si>
  <si>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</si>
  <si>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</si>
  <si>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</si>
  <si>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</si>
  <si>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</si>
  <si>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</si>
  <si>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</si>
  <si>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</si>
  <si>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</si>
  <si>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</si>
  <si>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</si>
  <si>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</si>
  <si>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</si>
  <si>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</si>
  <si>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</si>
  <si>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</si>
  <si>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</si>
  <si>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</si>
  <si>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</si>
  <si>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</si>
  <si>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</si>
  <si>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</si>
  <si>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</si>
  <si>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</si>
  <si>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</si>
  <si>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</si>
  <si>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</si>
  <si>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</si>
  <si>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</si>
  <si>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</si>
  <si>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</si>
  <si>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</si>
  <si>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</si>
  <si>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</si>
  <si>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</si>
  <si>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</si>
  <si>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</si>
  <si>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</si>
  <si>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</si>
  <si>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</si>
  <si>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</si>
  <si>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</si>
  <si>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</si>
  <si>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</si>
  <si>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</si>
  <si>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</si>
  <si>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</si>
  <si>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</si>
  <si>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</si>
  <si>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</si>
  <si>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</si>
  <si>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</si>
  <si>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</si>
  <si>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</si>
  <si>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</si>
  <si>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</si>
  <si>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</si>
  <si>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</si>
  <si>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</si>
  <si>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</si>
  <si>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</si>
  <si>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</si>
  <si>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</si>
  <si>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</si>
  <si>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</si>
  <si>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</si>
  <si>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</si>
  <si>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</si>
  <si>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</si>
  <si>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</si>
  <si>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</si>
  <si>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</si>
  <si>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</si>
  <si>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</si>
  <si>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</si>
  <si>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</si>
  <si>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</si>
  <si>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</si>
  <si>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</si>
  <si>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</si>
  <si>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</si>
  <si>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</si>
  <si>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</si>
  <si>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</si>
  <si>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</si>
  <si>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</si>
  <si>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</si>
  <si>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</si>
  <si>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</si>
  <si>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</si>
  <si>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</si>
  <si>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</si>
  <si>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</si>
  <si>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</si>
  <si>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</si>
  <si>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</si>
  <si>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</si>
  <si>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</si>
  <si>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</si>
  <si>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</si>
  <si>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</si>
  <si>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</si>
  <si>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</si>
  <si>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</si>
  <si>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</si>
  <si>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</si>
  <si>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</si>
  <si>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</si>
  <si>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</si>
  <si>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</si>
  <si>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</si>
  <si>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</si>
  <si>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</si>
  <si>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</si>
  <si>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</si>
  <si>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</si>
  <si>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</si>
  <si>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</si>
  <si>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</si>
  <si>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</si>
  <si>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</si>
  <si>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</si>
  <si>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</si>
  <si>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</si>
  <si>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</si>
  <si>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</si>
  <si>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</si>
  <si>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</si>
  <si>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</si>
  <si>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</si>
  <si>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</si>
  <si>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</si>
  <si>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</si>
  <si>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</si>
  <si>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</si>
  <si>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</si>
  <si>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</si>
  <si>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</si>
  <si>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</si>
  <si>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</si>
  <si>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</si>
  <si>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</si>
  <si>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</si>
  <si>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</si>
  <si>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</si>
  <si>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</si>
  <si>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</si>
  <si>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</si>
  <si>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</si>
  <si>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</si>
  <si>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</si>
  <si>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</si>
  <si>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</si>
  <si>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</si>
  <si>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</si>
  <si>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</si>
  <si>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</si>
  <si>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</si>
  <si>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</si>
  <si>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</si>
  <si>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</si>
  <si>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</si>
  <si>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</si>
  <si>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</si>
  <si>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</si>
  <si>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</si>
  <si>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</si>
  <si>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</si>
  <si>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</si>
  <si>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</si>
  <si>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</si>
  <si>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</si>
  <si>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</si>
  <si>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</si>
  <si>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</si>
  <si>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</si>
  <si>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</si>
  <si>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</si>
  <si>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</si>
  <si>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</si>
  <si>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</si>
  <si>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</si>
  <si>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</si>
  <si>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</si>
  <si>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</si>
  <si>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</si>
  <si>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</si>
  <si>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</si>
  <si>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</si>
  <si>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</si>
  <si>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</si>
  <si>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</si>
  <si>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</si>
  <si>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</si>
  <si>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</si>
  <si>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</si>
  <si>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</si>
  <si>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</si>
  <si>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</si>
  <si>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</si>
  <si>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</si>
  <si>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</si>
  <si>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</si>
  <si>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</si>
  <si>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</si>
  <si>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</si>
  <si>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</si>
  <si>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</si>
  <si>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</si>
  <si>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</si>
  <si>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</si>
  <si>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</si>
  <si>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</si>
  <si>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</si>
  <si>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</si>
  <si>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</si>
  <si>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</si>
  <si>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</si>
  <si>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</si>
  <si>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</si>
  <si>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</si>
  <si>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</si>
  <si>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</si>
  <si>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</si>
  <si>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</si>
  <si>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</si>
  <si>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</si>
  <si>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</si>
  <si>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</si>
  <si>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</si>
  <si>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</si>
  <si>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</si>
  <si>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</si>
  <si>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</si>
  <si>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</si>
  <si>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</si>
  <si>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</si>
  <si>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</si>
  <si>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</si>
  <si>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</si>
  <si>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</si>
  <si>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</si>
  <si>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</si>
  <si>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</si>
  <si>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</si>
  <si>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</si>
  <si>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</si>
  <si>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</si>
  <si>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</si>
  <si>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</si>
  <si>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</si>
  <si>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</si>
  <si>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</si>
  <si>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</si>
  <si>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</si>
  <si>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</si>
  <si>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</si>
  <si>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</si>
  <si>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</si>
  <si>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</si>
  <si>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</si>
  <si>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</si>
  <si>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</si>
  <si>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</si>
  <si>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</si>
  <si>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</si>
  <si>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</si>
  <si>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</si>
  <si>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</si>
  <si>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</si>
  <si>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</si>
  <si>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</si>
  <si>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</si>
  <si>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</si>
  <si>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</si>
  <si>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</si>
  <si>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</si>
  <si>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</si>
  <si>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</si>
  <si>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</si>
  <si>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</si>
  <si>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</si>
  <si>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</si>
  <si>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</si>
  <si>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</si>
  <si>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</si>
  <si>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</si>
  <si>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</si>
  <si>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</si>
  <si>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</si>
  <si>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</si>
  <si>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</si>
  <si>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</si>
  <si>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</si>
  <si>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</si>
  <si>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</si>
  <si>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</si>
  <si>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</si>
  <si>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</si>
  <si>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</si>
  <si>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</si>
  <si>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</si>
  <si>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</si>
  <si>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</si>
  <si>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</si>
  <si>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</si>
  <si>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</si>
  <si>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</si>
  <si>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</si>
  <si>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</si>
  <si>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</si>
  <si>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</si>
  <si>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</si>
  <si>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</si>
  <si>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</si>
  <si>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</si>
  <si>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</si>
  <si>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</si>
  <si>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</si>
  <si>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</si>
  <si>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</si>
  <si>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</si>
  <si>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</si>
  <si>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</si>
  <si>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</si>
  <si>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</si>
  <si>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</si>
  <si>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</si>
  <si>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</si>
  <si>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</si>
  <si>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</si>
  <si>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</si>
  <si>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</si>
  <si>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</si>
  <si>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</si>
  <si>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</si>
  <si>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</si>
  <si>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</si>
  <si>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</si>
  <si>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</si>
  <si>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</si>
  <si>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</si>
  <si>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</si>
  <si>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</si>
  <si>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</si>
  <si>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</si>
  <si>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</si>
  <si>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</si>
  <si>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</si>
  <si>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</si>
  <si>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</si>
  <si>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</si>
  <si>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</si>
  <si>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</si>
  <si>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</si>
  <si>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</si>
  <si>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</si>
  <si>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</si>
  <si>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</si>
  <si>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</si>
  <si>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</si>
  <si>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</si>
  <si>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</si>
  <si>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</si>
  <si>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</si>
  <si>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</si>
  <si>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</si>
  <si>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</si>
  <si>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</si>
  <si>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</si>
  <si>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</si>
  <si>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</si>
  <si>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</si>
  <si>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</si>
  <si>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</si>
  <si>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</si>
  <si>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</si>
  <si>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</si>
  <si>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</si>
  <si>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</si>
  <si>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</si>
  <si>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</si>
  <si>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</si>
  <si>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</si>
  <si>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</si>
  <si>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</si>
  <si>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</si>
  <si>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</si>
  <si>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</si>
  <si>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</si>
  <si>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</si>
  <si>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</si>
  <si>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</si>
  <si>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</si>
  <si>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</si>
  <si>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</si>
  <si>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</si>
  <si>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</si>
  <si>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</si>
  <si>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</si>
  <si>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</si>
  <si>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</si>
  <si>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</si>
  <si>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</si>
  <si>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</si>
  <si>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</si>
  <si>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</si>
  <si>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</si>
  <si>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</si>
  <si>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</si>
  <si>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</si>
  <si>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</si>
  <si>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</si>
  <si>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</si>
  <si>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</si>
  <si>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</si>
  <si>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</si>
  <si>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</si>
  <si>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</si>
  <si>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</si>
  <si>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</si>
  <si>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</si>
  <si>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</si>
  <si>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</si>
  <si>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</si>
  <si>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</si>
  <si>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</si>
  <si>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</si>
  <si>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</si>
  <si>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</si>
  <si>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</si>
  <si>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</si>
  <si>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</si>
  <si>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</si>
  <si>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</si>
  <si>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</si>
  <si>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</si>
  <si>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</si>
  <si>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</si>
  <si>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</si>
  <si>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</si>
  <si>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</si>
  <si>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</si>
  <si>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</si>
  <si>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</si>
  <si>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</si>
  <si>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</si>
  <si>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</si>
  <si>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</si>
  <si>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</si>
  <si>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</si>
  <si>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</si>
  <si>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</si>
  <si>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</si>
  <si>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</si>
  <si>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</si>
  <si>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</si>
  <si>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</si>
  <si>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</si>
  <si>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</si>
  <si>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</si>
  <si>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</si>
  <si>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</si>
  <si>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</si>
  <si>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</si>
  <si>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</si>
  <si>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</si>
  <si>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</si>
  <si>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</si>
  <si>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</si>
  <si>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</si>
  <si>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</si>
  <si>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</si>
  <si>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</si>
  <si>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</si>
  <si>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</si>
  <si>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</si>
  <si>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</si>
  <si>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</si>
  <si>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</si>
  <si>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</si>
  <si>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</si>
  <si>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</si>
  <si>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</si>
  <si>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</si>
  <si>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</si>
  <si>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</si>
  <si>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</si>
  <si>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</si>
  <si>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</si>
  <si>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</si>
  <si>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</si>
  <si>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</si>
  <si>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</si>
  <si>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</si>
  <si>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</si>
  <si>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</si>
  <si>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</si>
  <si>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</si>
  <si>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</si>
  <si>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</si>
  <si>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</si>
  <si>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</si>
  <si>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</si>
  <si>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</si>
  <si>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</si>
  <si>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</si>
  <si>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</si>
  <si>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</si>
  <si>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</si>
  <si>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</si>
  <si>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</si>
  <si>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</si>
  <si>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</si>
  <si>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</si>
  <si>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</si>
  <si>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</si>
  <si>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</si>
  <si>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</si>
  <si>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</si>
  <si>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</si>
  <si>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</si>
  <si>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</si>
  <si>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</si>
  <si>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</si>
  <si>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</si>
  <si>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</si>
  <si>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</si>
  <si>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</si>
  <si>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</si>
  <si>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</si>
  <si>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</si>
  <si>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</si>
  <si>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</si>
  <si>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</si>
  <si>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</si>
  <si>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</si>
  <si>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</si>
  <si>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</si>
  <si>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</si>
  <si>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</si>
  <si>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</si>
  <si>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</si>
  <si>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</si>
  <si>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</si>
  <si>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</si>
  <si>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</si>
  <si>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</si>
  <si>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</si>
  <si>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</si>
  <si>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</si>
  <si>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</si>
  <si>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</si>
  <si>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</si>
  <si>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</si>
  <si>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</si>
  <si>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</si>
  <si>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</si>
  <si>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</si>
  <si>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</si>
  <si>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</si>
  <si>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</si>
  <si>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</si>
  <si>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</si>
  <si>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</si>
  <si>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</si>
  <si>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</si>
  <si>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</si>
  <si>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</si>
  <si>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</si>
  <si>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</si>
  <si>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</si>
  <si>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</si>
  <si>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</si>
  <si>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</si>
  <si>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</si>
  <si>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</si>
  <si>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</si>
  <si>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</si>
  <si>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</si>
  <si>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</si>
  <si>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</si>
  <si>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</si>
  <si>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</si>
  <si>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</si>
  <si>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</si>
  <si>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</si>
  <si>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</si>
  <si>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</si>
  <si>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</si>
  <si>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</si>
  <si>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</si>
  <si>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</si>
  <si>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</si>
  <si>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</si>
  <si>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</si>
  <si>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</si>
  <si>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</si>
  <si>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</si>
  <si>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</si>
  <si>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</si>
  <si>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</si>
  <si>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</si>
  <si>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</si>
  <si>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</si>
  <si>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</si>
  <si>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</si>
  <si>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</si>
  <si>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</si>
  <si>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</si>
  <si>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</si>
  <si>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</si>
  <si>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</si>
  <si>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</si>
  <si>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</si>
  <si>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</si>
  <si>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</si>
  <si>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</si>
  <si>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</si>
  <si>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</si>
  <si>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</si>
  <si>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</si>
  <si>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</si>
  <si>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</si>
  <si>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</si>
  <si>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</si>
  <si>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</si>
  <si>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</si>
  <si>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</si>
  <si>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</si>
  <si>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</si>
  <si>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</si>
  <si>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</si>
  <si>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</si>
  <si>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</si>
  <si>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</si>
  <si>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</si>
  <si>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</si>
  <si>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</si>
  <si>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</si>
  <si>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</si>
  <si>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</si>
  <si>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</si>
  <si>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</si>
  <si>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</si>
  <si>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</si>
  <si>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</si>
  <si>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</si>
  <si>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</si>
  <si>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</si>
  <si>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</si>
  <si>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</si>
  <si>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</si>
  <si>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</si>
  <si>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</si>
  <si>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</si>
  <si>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</si>
  <si>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</si>
  <si>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</si>
  <si>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</si>
  <si>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</si>
  <si>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</si>
  <si>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</si>
  <si>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</si>
  <si>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</si>
  <si>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</si>
  <si>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</si>
  <si>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</si>
  <si>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</si>
  <si>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</si>
  <si>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</si>
  <si>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</si>
  <si>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</si>
  <si>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</si>
  <si>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</si>
  <si>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</si>
  <si>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</si>
  <si>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</si>
  <si>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</si>
  <si>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</si>
  <si>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</si>
  <si>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</si>
  <si>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</si>
  <si>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</si>
  <si>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</si>
  <si>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</si>
  <si>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</si>
  <si>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</si>
  <si>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</si>
  <si>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</si>
  <si>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</si>
  <si>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</si>
  <si>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</si>
  <si>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</si>
  <si>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</si>
  <si>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</si>
  <si>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</si>
  <si>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</si>
  <si>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</si>
  <si>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</si>
  <si>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</si>
  <si>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</si>
  <si>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</si>
  <si>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</si>
  <si>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</si>
  <si>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</si>
  <si>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</si>
  <si>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</si>
  <si>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</si>
  <si>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</si>
  <si>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</si>
  <si>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</si>
  <si>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</si>
  <si>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</si>
  <si>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</si>
  <si>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</si>
  <si>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</si>
  <si>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</si>
  <si>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</si>
  <si>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</si>
  <si>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</si>
  <si>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</si>
  <si>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</si>
  <si>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</si>
  <si>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</si>
  <si>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</si>
  <si>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</si>
  <si>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</si>
  <si>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</si>
  <si>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</si>
  <si>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</si>
  <si>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</si>
  <si>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</si>
  <si>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</si>
  <si>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</si>
  <si>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</si>
  <si>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</si>
  <si>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</si>
  <si>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</si>
  <si>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</si>
  <si>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</si>
  <si>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</si>
  <si>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</si>
  <si>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</si>
  <si>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</si>
  <si>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</si>
  <si>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</si>
  <si>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</si>
  <si>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</si>
  <si>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</si>
  <si>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</si>
  <si>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</si>
  <si>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</si>
  <si>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</si>
  <si>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</si>
  <si>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</si>
  <si>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</si>
  <si>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</si>
  <si>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</si>
  <si>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</si>
  <si>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</si>
  <si>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</si>
  <si>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</si>
  <si>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</si>
  <si>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</si>
  <si>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</si>
  <si>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</si>
  <si>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</si>
  <si>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</si>
  <si>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</si>
  <si>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</si>
  <si>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</si>
  <si>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</si>
  <si>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</si>
  <si>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</si>
  <si>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</si>
  <si>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</si>
  <si>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</si>
  <si>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</si>
  <si>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</si>
  <si>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</si>
  <si>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</si>
  <si>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</si>
  <si>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</si>
  <si>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</si>
  <si>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</si>
  <si>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</si>
  <si>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</si>
  <si>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</si>
  <si>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</si>
  <si>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</si>
  <si>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</si>
  <si>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</si>
  <si>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</si>
  <si>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</si>
  <si>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</si>
  <si>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</si>
  <si>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</si>
  <si>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</si>
  <si>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</si>
  <si>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</si>
  <si>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</si>
  <si>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</si>
  <si>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</si>
  <si>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</si>
  <si>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</si>
  <si>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</si>
  <si>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</si>
  <si>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</si>
  <si>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</si>
  <si>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</si>
  <si>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</si>
  <si>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</si>
  <si>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</si>
  <si>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</si>
  <si>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</si>
  <si>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</si>
  <si>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</si>
  <si>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</si>
  <si>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</si>
  <si>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</si>
  <si>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</si>
  <si>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</si>
  <si>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</si>
  <si>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</si>
  <si>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</si>
  <si>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</si>
  <si>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</si>
  <si>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</si>
  <si>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</si>
  <si>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</si>
  <si>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</si>
  <si>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</si>
  <si>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</si>
  <si>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</si>
  <si>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</si>
  <si>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</si>
  <si>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</si>
  <si>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</si>
  <si>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</si>
  <si>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</si>
  <si>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</si>
  <si>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</si>
  <si>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</si>
  <si>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</si>
  <si>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</si>
  <si>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</si>
  <si>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</si>
  <si>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</si>
  <si>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</si>
  <si>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</si>
  <si>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</si>
  <si>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</si>
  <si>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</si>
  <si>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</si>
  <si>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</si>
  <si>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</si>
  <si>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</si>
  <si>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</si>
  <si>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</si>
  <si>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</si>
  <si>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</si>
  <si>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</si>
  <si>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</si>
  <si>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</si>
  <si>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</si>
  <si>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</si>
  <si>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</si>
  <si>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</si>
  <si>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</si>
  <si>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</si>
  <si>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</si>
  <si>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</si>
  <si>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</si>
  <si>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</si>
  <si>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</si>
  <si>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</si>
  <si>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</si>
  <si>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</si>
  <si>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</si>
  <si>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</si>
  <si>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</si>
  <si>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</si>
  <si>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</si>
  <si>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</si>
  <si>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</si>
  <si>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</si>
  <si>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</si>
  <si>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</si>
  <si>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</si>
  <si>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</si>
  <si>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</si>
  <si>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</si>
  <si>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</si>
  <si>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</si>
  <si>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</si>
  <si>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</si>
  <si>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</si>
  <si>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</si>
  <si>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</si>
  <si>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</si>
  <si>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</si>
  <si>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</si>
  <si>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</si>
  <si>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</si>
  <si>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</si>
  <si>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</si>
  <si>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</si>
  <si>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</si>
  <si>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</si>
  <si>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</si>
  <si>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</si>
  <si>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</si>
  <si>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</si>
  <si>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</si>
  <si>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</si>
  <si>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</si>
  <si>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</si>
  <si>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</si>
  <si>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</si>
  <si>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</si>
  <si>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</si>
  <si>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</si>
  <si>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</si>
  <si>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</si>
  <si>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</si>
  <si>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</si>
  <si>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</si>
  <si>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</si>
  <si>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</si>
  <si>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</si>
  <si>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</si>
  <si>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</si>
  <si>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</si>
  <si>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</si>
  <si>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</si>
  <si>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</si>
  <si>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</si>
  <si>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</si>
  <si>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</si>
  <si>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</si>
  <si>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</si>
  <si>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</si>
  <si>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</si>
  <si>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</si>
  <si>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</si>
  <si>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</si>
  <si>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</si>
  <si>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</si>
  <si>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</si>
  <si>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</si>
  <si>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</si>
  <si>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</si>
  <si>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</si>
  <si>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</si>
  <si>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</si>
  <si>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</si>
  <si>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</si>
  <si>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</si>
  <si>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</si>
  <si>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</si>
  <si>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</si>
  <si>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</si>
  <si>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</si>
  <si>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</si>
  <si>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</si>
  <si>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</si>
  <si>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</si>
  <si>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</si>
  <si>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</si>
  <si>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</si>
  <si>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</si>
  <si>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</si>
  <si>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</si>
  <si>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</si>
  <si>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</si>
  <si>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</si>
  <si>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</si>
  <si>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</si>
  <si>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</si>
  <si>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</si>
  <si>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</si>
  <si>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</si>
  <si>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</si>
  <si>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</si>
  <si>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</si>
  <si>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</si>
  <si>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</si>
  <si>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</si>
  <si>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</si>
  <si>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</si>
  <si>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</si>
  <si>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</si>
  <si>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</si>
  <si>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</si>
  <si>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</si>
  <si>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</si>
  <si>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</si>
  <si>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</si>
  <si>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</si>
  <si>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</si>
  <si>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</si>
  <si>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</si>
  <si>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</si>
  <si>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</si>
  <si>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</si>
  <si>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</si>
  <si>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</si>
  <si>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</si>
  <si>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</si>
  <si>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</si>
  <si>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</si>
  <si>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</si>
  <si>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</si>
  <si>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</si>
  <si>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</si>
  <si>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</si>
  <si>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</si>
  <si>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</si>
  <si>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</si>
  <si>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</si>
  <si>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</si>
  <si>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</si>
  <si>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</si>
  <si>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</si>
  <si>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</si>
  <si>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</si>
  <si>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</si>
  <si>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</si>
  <si>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</si>
  <si>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</si>
  <si>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</si>
  <si>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</si>
  <si>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</si>
  <si>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</si>
  <si>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</si>
  <si>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</si>
  <si>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</si>
  <si>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</si>
  <si>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</si>
  <si>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</si>
  <si>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</si>
  <si>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</si>
  <si>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</si>
  <si>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</si>
  <si>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</si>
  <si>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</si>
  <si>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</si>
  <si>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</si>
  <si>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</si>
  <si>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</si>
  <si>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</si>
  <si>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</si>
  <si>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</si>
  <si>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</si>
  <si>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</si>
  <si>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</si>
  <si>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</si>
  <si>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</si>
  <si>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</si>
  <si>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</si>
  <si>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</si>
  <si>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</si>
  <si>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</si>
  <si>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</si>
  <si>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</si>
  <si>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</si>
  <si>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</si>
  <si>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</si>
  <si>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</si>
  <si>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</si>
  <si>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</si>
  <si>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</si>
  <si>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</si>
  <si>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</si>
  <si>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</si>
  <si>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</si>
  <si>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</si>
  <si>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</si>
  <si>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</si>
  <si>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</si>
  <si>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</si>
  <si>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</si>
  <si>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</si>
  <si>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</si>
  <si>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</si>
  <si>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</si>
  <si>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</si>
  <si>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</si>
  <si>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</si>
  <si>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</si>
  <si>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</si>
  <si>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</si>
  <si>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</si>
  <si>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</si>
  <si>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</si>
  <si>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</si>
  <si>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</si>
  <si>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</si>
  <si>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</si>
  <si>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</si>
  <si>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</si>
  <si>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</si>
  <si>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</si>
  <si>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</si>
  <si>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</si>
  <si>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</si>
  <si>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</si>
  <si>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</si>
  <si>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</si>
  <si>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</si>
  <si>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</si>
  <si>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</si>
  <si>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</si>
  <si>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</si>
  <si>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</si>
  <si>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</si>
  <si>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</si>
  <si>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</si>
  <si>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</si>
  <si>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</si>
  <si>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</si>
  <si>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</si>
  <si>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</si>
  <si>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</si>
  <si>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</si>
  <si>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</si>
  <si>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</si>
  <si>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</si>
  <si>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</si>
  <si>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</si>
  <si>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</si>
  <si>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</si>
  <si>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</si>
  <si>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</si>
  <si>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</si>
  <si>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</si>
  <si>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</si>
  <si>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</si>
  <si>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</si>
  <si>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</si>
  <si>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</si>
  <si>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</si>
  <si>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</si>
  <si>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</si>
  <si>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</si>
  <si>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</si>
  <si>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</si>
  <si>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</si>
  <si>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</si>
  <si>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</si>
  <si>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</si>
  <si>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</si>
  <si>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</si>
  <si>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</si>
  <si>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</si>
  <si>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</si>
  <si>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</si>
  <si>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</si>
  <si>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</si>
  <si>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</si>
  <si>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</si>
  <si>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</si>
  <si>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</si>
  <si>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</si>
  <si>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</si>
  <si>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</si>
  <si>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</si>
  <si>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</si>
  <si>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</si>
  <si>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</si>
  <si>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</si>
  <si>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</si>
  <si>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</si>
  <si>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</si>
  <si>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</si>
  <si>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</si>
  <si>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</si>
  <si>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</si>
  <si>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</si>
  <si>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</si>
  <si>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</si>
  <si>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</si>
  <si>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</si>
  <si>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</si>
  <si>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</si>
  <si>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</si>
  <si>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</si>
  <si>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</si>
  <si>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</si>
  <si>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</si>
  <si>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</si>
  <si>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</si>
  <si>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</si>
  <si>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</si>
  <si>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</si>
  <si>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</si>
  <si>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</si>
  <si>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</si>
  <si>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</si>
  <si>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</si>
  <si>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</si>
  <si>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</si>
  <si>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</si>
  <si>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</si>
  <si>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</si>
  <si>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</si>
  <si>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</si>
  <si>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</si>
  <si>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</si>
  <si>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</si>
  <si>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</si>
  <si>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</si>
  <si>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</si>
  <si>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</si>
  <si>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</si>
  <si>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</si>
  <si>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</si>
  <si>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</si>
  <si>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</si>
  <si>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</si>
  <si>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</si>
  <si>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</si>
  <si>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</si>
  <si>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</si>
  <si>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</si>
  <si>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</si>
  <si>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</si>
  <si>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</si>
  <si>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</si>
  <si>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</si>
  <si>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</si>
  <si>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</si>
  <si>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</si>
  <si>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</si>
  <si>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</si>
  <si>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</si>
  <si>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</si>
  <si>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</si>
  <si>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</si>
  <si>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</si>
  <si>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</si>
  <si>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</si>
  <si>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</si>
  <si>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</si>
  <si>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</si>
  <si>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</si>
  <si>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</si>
  <si>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</si>
  <si>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</si>
  <si>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</si>
  <si>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</si>
  <si>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</si>
  <si>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</si>
  <si>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</si>
  <si>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</si>
  <si>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</si>
  <si>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</si>
  <si>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</si>
  <si>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</si>
  <si>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</si>
  <si>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</si>
  <si>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</si>
  <si>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</si>
  <si>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</si>
  <si>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</si>
  <si>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</si>
  <si>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</si>
  <si>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</si>
  <si>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</si>
  <si>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</si>
  <si>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</si>
  <si>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</si>
  <si>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</si>
  <si>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</si>
  <si>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</si>
  <si>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</si>
  <si>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</si>
  <si>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</si>
  <si>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</si>
  <si>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</si>
  <si>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</si>
  <si>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</si>
  <si>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</si>
  <si>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</si>
  <si>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</si>
  <si>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</si>
  <si>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</si>
  <si>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</si>
  <si>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</si>
  <si>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</si>
  <si>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</si>
  <si>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</si>
  <si>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</si>
  <si>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</si>
  <si>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</si>
  <si>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</si>
  <si>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</si>
  <si>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</si>
  <si>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</si>
  <si>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</si>
  <si>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</si>
  <si>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</si>
  <si>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</si>
  <si>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</si>
  <si>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</si>
  <si>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</si>
  <si>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</si>
  <si>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</si>
  <si>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</si>
  <si>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</si>
  <si>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</si>
  <si>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</si>
  <si>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</si>
  <si>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</si>
  <si>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</si>
  <si>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</si>
  <si>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</si>
  <si>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</si>
  <si>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</si>
  <si>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</si>
  <si>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</si>
  <si>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</si>
  <si>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</si>
  <si>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</si>
  <si>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</si>
  <si>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</si>
  <si>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</si>
  <si>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</si>
  <si>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</si>
  <si>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</si>
  <si>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</si>
  <si>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</si>
  <si>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</si>
  <si>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</si>
  <si>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</si>
  <si>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</si>
  <si>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</si>
  <si>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</si>
  <si>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</si>
  <si>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</si>
  <si>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</si>
  <si>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</si>
  <si>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</si>
  <si>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</si>
  <si>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</si>
  <si>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</si>
  <si>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</si>
  <si>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</si>
  <si>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</si>
  <si>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</si>
  <si>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</si>
  <si>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</si>
  <si>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</si>
  <si>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</si>
  <si>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</si>
  <si>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</si>
  <si>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</si>
  <si>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</si>
  <si>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</si>
  <si>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</si>
  <si>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</si>
  <si>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</si>
  <si>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</si>
  <si>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</si>
  <si>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</si>
  <si>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</si>
  <si>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</si>
  <si>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</si>
  <si>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</si>
  <si>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</si>
  <si>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</si>
  <si>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</si>
  <si>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</si>
  <si>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</si>
  <si>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</si>
  <si>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</si>
  <si>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</si>
  <si>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</si>
  <si>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</si>
  <si>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</si>
  <si>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</si>
  <si>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</si>
  <si>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</si>
  <si>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</si>
  <si>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</si>
  <si>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</si>
  <si>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</si>
  <si>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</si>
  <si>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</si>
  <si>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</si>
  <si>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</si>
  <si>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</si>
  <si>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</si>
  <si>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</si>
  <si>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</si>
  <si>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</si>
  <si>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</si>
  <si>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</si>
  <si>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</si>
  <si>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</si>
  <si>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</si>
  <si>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</si>
  <si>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</si>
  <si>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</si>
  <si>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</si>
  <si>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</si>
  <si>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</si>
  <si>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</si>
  <si>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</si>
  <si>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</si>
  <si>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</si>
  <si>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</si>
  <si>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</si>
  <si>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</si>
  <si>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</si>
  <si>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</si>
  <si>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</si>
  <si>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</si>
  <si>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</si>
  <si>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</si>
  <si>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</si>
  <si>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</si>
  <si>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</si>
  <si>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</si>
  <si>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</si>
  <si>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</si>
  <si>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</si>
  <si>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</si>
  <si>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</si>
  <si>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</si>
  <si>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</si>
  <si>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</si>
  <si>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</si>
  <si>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</si>
  <si>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</si>
  <si>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</si>
  <si>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</si>
  <si>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</si>
  <si>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</si>
  <si>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</si>
  <si>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</si>
  <si>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</si>
  <si>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</si>
  <si>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</si>
  <si>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</si>
  <si>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</si>
  <si>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</si>
  <si>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</si>
  <si>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</si>
  <si>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</si>
  <si>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</si>
  <si>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</si>
  <si>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</si>
  <si>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</si>
  <si>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</si>
  <si>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</si>
  <si>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</si>
  <si>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</si>
  <si>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</si>
  <si>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</si>
  <si>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</si>
  <si>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</si>
  <si>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</si>
  <si>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</si>
  <si>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</si>
  <si>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</si>
  <si>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</si>
  <si>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</si>
  <si>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</si>
  <si>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</si>
  <si>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</si>
  <si>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</si>
  <si>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</si>
  <si>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</si>
  <si>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</si>
  <si>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</si>
  <si>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</si>
  <si>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</si>
  <si>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</si>
  <si>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</si>
  <si>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</si>
  <si>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</si>
  <si>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</si>
  <si>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</si>
  <si>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</si>
  <si>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</si>
  <si>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</si>
  <si>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</si>
  <si>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</si>
  <si>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</si>
  <si>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</si>
  <si>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</si>
  <si>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</si>
  <si>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</si>
  <si>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</si>
  <si>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</si>
  <si>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</si>
  <si>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</si>
  <si>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</si>
  <si>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</si>
  <si>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</si>
  <si>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</si>
  <si>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</si>
  <si>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</si>
  <si>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</si>
  <si>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</si>
  <si>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</si>
  <si>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</si>
  <si>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</si>
  <si>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</si>
  <si>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</si>
  <si>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</si>
  <si>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</si>
  <si>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</si>
  <si>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</si>
  <si>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</si>
  <si>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</si>
  <si>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</si>
  <si>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</si>
  <si>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</si>
  <si>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</si>
  <si>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</si>
  <si>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</si>
  <si>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</si>
  <si>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</si>
  <si>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</si>
  <si>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</si>
  <si>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</si>
  <si>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</si>
  <si>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</si>
  <si>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</si>
  <si>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</si>
  <si>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</si>
  <si>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</si>
  <si>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</si>
  <si>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</si>
  <si>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</si>
  <si>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</si>
  <si>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</si>
  <si>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</si>
  <si>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</si>
  <si>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</si>
  <si>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</si>
  <si>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</si>
  <si>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</si>
  <si>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</si>
  <si>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</si>
  <si>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</si>
  <si>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</si>
  <si>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</si>
  <si>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</si>
  <si>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</si>
  <si>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</si>
  <si>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</si>
  <si>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</si>
  <si>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</si>
  <si>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</si>
  <si>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</si>
  <si>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</si>
  <si>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</si>
  <si>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</si>
  <si>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</si>
  <si>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</si>
  <si>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</si>
  <si>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</si>
  <si>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</si>
  <si>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</si>
  <si>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</si>
  <si>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</si>
  <si>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</si>
  <si>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</si>
  <si>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</si>
  <si>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</si>
  <si>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</si>
  <si>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</si>
  <si>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</si>
  <si>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</si>
  <si>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</si>
  <si>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</si>
  <si>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</si>
  <si>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</si>
  <si>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</si>
  <si>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</si>
  <si>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</si>
  <si>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</si>
  <si>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</si>
  <si>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</si>
  <si>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</si>
  <si>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</si>
  <si>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</si>
  <si>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</si>
  <si>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</si>
  <si>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</si>
  <si>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</si>
  <si>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</si>
  <si>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</si>
  <si>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</si>
  <si>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</si>
  <si>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</si>
  <si>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</si>
  <si>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</si>
  <si>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</si>
  <si>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</si>
  <si>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</si>
  <si>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</si>
  <si>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</si>
  <si>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</si>
  <si>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</si>
  <si>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</si>
  <si>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</si>
  <si>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</si>
  <si>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</si>
  <si>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</si>
  <si>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</si>
  <si>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</si>
  <si>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</si>
  <si>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</si>
  <si>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</si>
  <si>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</si>
  <si>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</si>
  <si>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</si>
  <si>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</si>
  <si>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</si>
  <si>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</si>
  <si>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</si>
  <si>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</si>
  <si>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</si>
  <si>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</si>
  <si>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</si>
  <si>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</si>
  <si>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</si>
  <si>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</si>
  <si>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</si>
  <si>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</si>
  <si>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</si>
  <si>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</si>
  <si>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</si>
  <si>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</si>
  <si>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</si>
  <si>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</si>
  <si>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</si>
  <si>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</si>
  <si>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</si>
  <si>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</si>
  <si>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</si>
  <si>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</si>
  <si>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</si>
  <si>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</si>
  <si>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</si>
  <si>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</si>
  <si>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</si>
  <si>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</si>
  <si>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</si>
  <si>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</si>
  <si>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</si>
  <si>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</si>
  <si>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</si>
  <si>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</si>
  <si>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</si>
  <si>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</si>
  <si>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</si>
  <si>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</si>
  <si>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</si>
  <si>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</si>
  <si>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</si>
  <si>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</si>
  <si>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</si>
  <si>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</si>
  <si>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</si>
  <si>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</si>
  <si>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</si>
  <si>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</si>
  <si>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</si>
  <si>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</si>
  <si>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</si>
  <si>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</si>
  <si>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</si>
  <si>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</si>
  <si>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</si>
  <si>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</si>
  <si>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</si>
  <si>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</si>
  <si>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</si>
  <si>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</si>
  <si>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</si>
  <si>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</si>
  <si>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</si>
  <si>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</si>
  <si>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</si>
  <si>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</si>
  <si>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</si>
  <si>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</si>
  <si>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</si>
  <si>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</si>
  <si>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</si>
  <si>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</si>
  <si>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</si>
  <si>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</si>
  <si>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</si>
  <si>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</si>
  <si>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</si>
  <si>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</si>
  <si>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</si>
  <si>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</si>
  <si>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</si>
  <si>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</si>
  <si>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</si>
  <si>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</si>
  <si>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</si>
  <si>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</si>
  <si>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</si>
  <si>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</si>
  <si>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</si>
  <si>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</si>
  <si>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</si>
  <si>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</si>
  <si>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</si>
  <si>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</si>
  <si>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</si>
  <si>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</si>
  <si>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</si>
  <si>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</si>
  <si>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</si>
  <si>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</si>
  <si>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</si>
  <si>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</si>
  <si>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</si>
  <si>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</si>
  <si>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</si>
  <si>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</si>
  <si>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</si>
  <si>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</si>
  <si>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</si>
  <si>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</si>
  <si>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</si>
  <si>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</si>
  <si>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</si>
  <si>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</si>
  <si>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</si>
  <si>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</si>
  <si>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</si>
  <si>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</si>
  <si>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</si>
  <si>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</si>
  <si>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</si>
  <si>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</si>
  <si>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</si>
  <si>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</si>
  <si>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</si>
  <si>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</si>
  <si>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</si>
  <si>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</si>
  <si>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</si>
  <si>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</si>
  <si>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</si>
  <si>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</si>
  <si>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</si>
  <si>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</si>
  <si>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</si>
  <si>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</si>
  <si>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</si>
  <si>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</si>
  <si>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</si>
  <si>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</si>
  <si>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</si>
  <si>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</si>
  <si>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</si>
  <si>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</si>
  <si>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</si>
  <si>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</si>
  <si>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</si>
  <si>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</si>
  <si>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</si>
  <si>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</si>
  <si>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</si>
  <si>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</si>
  <si>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</si>
  <si>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</si>
  <si>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</si>
  <si>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</si>
  <si>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</si>
  <si>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</si>
  <si>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</si>
  <si>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</si>
  <si>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</si>
  <si>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</si>
  <si>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</si>
  <si>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</si>
  <si>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</si>
  <si>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</si>
  <si>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</si>
  <si>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</si>
  <si>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</si>
  <si>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</si>
  <si>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</si>
  <si>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</si>
  <si>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</si>
  <si>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</si>
  <si>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</si>
  <si>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</si>
  <si>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</si>
  <si>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</si>
  <si>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</si>
  <si>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</si>
  <si>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</si>
  <si>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</si>
  <si>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</si>
  <si>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</si>
  <si>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</si>
  <si>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</si>
  <si>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</si>
  <si>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</si>
  <si>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</si>
  <si>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</si>
  <si>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</si>
  <si>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</si>
  <si>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</si>
  <si>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</si>
  <si>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</si>
  <si>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</si>
  <si>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</si>
  <si>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</si>
  <si>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</si>
  <si>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</si>
  <si>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</si>
  <si>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</si>
  <si>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</si>
  <si>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</si>
  <si>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</si>
  <si>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</si>
  <si>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</si>
  <si>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</si>
  <si>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</si>
  <si>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</si>
  <si>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</si>
  <si>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</si>
  <si>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</si>
  <si>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</si>
  <si>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</si>
  <si>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</si>
  <si>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</si>
  <si>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</si>
  <si>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</si>
  <si>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</si>
  <si>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</si>
  <si>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</si>
  <si>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</si>
  <si>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</si>
  <si>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</si>
  <si>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</si>
  <si>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</si>
  <si>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</si>
  <si>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</si>
  <si>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</si>
  <si>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</si>
  <si>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</si>
  <si>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</si>
  <si>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</si>
  <si>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</si>
  <si>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</si>
  <si>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</si>
  <si>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</si>
  <si>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</si>
  <si>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</si>
  <si>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</si>
  <si>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</si>
  <si>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</si>
  <si>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</si>
  <si>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</si>
  <si>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</si>
  <si>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</si>
  <si>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</si>
  <si>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</si>
  <si>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</si>
  <si>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</si>
  <si>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</si>
  <si>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</si>
  <si>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</si>
  <si>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</si>
  <si>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</si>
  <si>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</si>
  <si>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</si>
  <si>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</si>
  <si>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</si>
  <si>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</si>
  <si>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</si>
  <si>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</si>
  <si>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</si>
  <si>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</si>
  <si>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</si>
  <si>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</si>
  <si>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</si>
  <si>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</si>
  <si>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</si>
  <si>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</si>
  <si>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</si>
  <si>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</si>
  <si>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</si>
  <si>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</si>
  <si>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</si>
  <si>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</si>
  <si>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</si>
  <si>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</si>
  <si>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</si>
  <si>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</si>
  <si>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</si>
  <si>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</si>
  <si>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</si>
  <si>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</si>
  <si>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</si>
  <si>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</si>
  <si>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</si>
  <si>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</si>
  <si>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</si>
  <si>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</si>
  <si>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</si>
  <si>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</si>
  <si>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</si>
  <si>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</si>
  <si>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</si>
  <si>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</si>
  <si>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</si>
  <si>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</si>
  <si>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</si>
  <si>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</si>
  <si>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</si>
  <si>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</si>
  <si>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</si>
  <si>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</si>
  <si>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</si>
  <si>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</si>
  <si>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</si>
  <si>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</si>
  <si>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</si>
  <si>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</si>
  <si>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</si>
  <si>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</si>
  <si>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</si>
  <si>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</si>
  <si>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</si>
  <si>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</si>
  <si>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</si>
  <si>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</si>
  <si>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</si>
  <si>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</si>
  <si>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</si>
  <si>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</si>
  <si>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</si>
  <si>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</si>
  <si>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</si>
  <si>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</si>
  <si>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</si>
  <si>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</si>
  <si>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</si>
  <si>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</si>
  <si>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</si>
  <si>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</si>
  <si>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</si>
  <si>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</si>
  <si>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</si>
  <si>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</si>
  <si>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</si>
  <si>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</si>
  <si>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</si>
  <si>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</si>
  <si>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</si>
  <si>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</si>
  <si>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</si>
  <si>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</si>
  <si>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</si>
  <si>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</si>
  <si>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</si>
  <si>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</si>
  <si>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</si>
  <si>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</si>
  <si>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</si>
  <si>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</si>
  <si>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</si>
  <si>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</si>
  <si>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</si>
  <si>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</si>
  <si>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</si>
  <si>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</si>
  <si>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</si>
  <si>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</si>
  <si>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</si>
  <si>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</si>
  <si>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</si>
  <si>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</si>
  <si>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</si>
  <si>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</si>
  <si>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</si>
  <si>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</si>
  <si>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</si>
  <si>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</si>
  <si>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</si>
  <si>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</si>
  <si>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</si>
  <si>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</si>
  <si>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</si>
  <si>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</si>
  <si>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</si>
  <si>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</si>
  <si>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</si>
  <si>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</si>
  <si>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</si>
  <si>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</si>
  <si>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</si>
  <si>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</si>
  <si>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</si>
  <si>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</si>
  <si>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</si>
  <si>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</si>
  <si>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</si>
  <si>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</si>
  <si>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</si>
  <si>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</si>
  <si>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</si>
  <si>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</si>
  <si>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</si>
  <si>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</si>
  <si>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</si>
  <si>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</si>
  <si>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</si>
  <si>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</si>
  <si>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</si>
  <si>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</si>
  <si>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</si>
  <si>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</si>
  <si>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</si>
  <si>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</si>
  <si>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</si>
  <si>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</si>
  <si>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</si>
  <si>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</si>
  <si>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</si>
  <si>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</si>
  <si>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</si>
  <si>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</si>
  <si>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</si>
  <si>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</si>
  <si>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</si>
  <si>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</si>
  <si>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</si>
  <si>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</si>
  <si>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</si>
  <si>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</si>
  <si>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</si>
  <si>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</si>
  <si>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</si>
  <si>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</si>
  <si>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</si>
  <si>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</si>
  <si>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</si>
  <si>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</si>
  <si>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</si>
  <si>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</si>
  <si>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</si>
  <si>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</si>
  <si>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</si>
  <si>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</si>
  <si>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</si>
  <si>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</si>
  <si>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</si>
  <si>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</si>
  <si>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</si>
  <si>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</si>
  <si>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</si>
  <si>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</si>
  <si>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</si>
  <si>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</si>
  <si>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</si>
  <si>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</si>
  <si>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</si>
  <si>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</si>
  <si>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</si>
  <si>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</si>
  <si>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</si>
  <si>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</si>
  <si>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</si>
  <si>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</si>
  <si>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</si>
  <si>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</si>
  <si>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</si>
  <si>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</si>
  <si>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</si>
  <si>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</si>
  <si>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</si>
  <si>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</si>
  <si>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</si>
  <si>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</si>
  <si>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</si>
  <si>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</si>
  <si>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</si>
  <si>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</si>
  <si>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</si>
  <si>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</si>
  <si>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</si>
  <si>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</si>
  <si>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</si>
  <si>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</si>
  <si>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</si>
  <si>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</si>
  <si>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</si>
  <si>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</si>
  <si>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</si>
  <si>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</si>
  <si>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</si>
  <si>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</si>
  <si>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</si>
  <si>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</si>
  <si>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</si>
  <si>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</si>
  <si>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</si>
  <si>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</si>
  <si>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</si>
  <si>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</si>
  <si>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</si>
  <si>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</si>
  <si>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</si>
  <si>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</si>
  <si>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</si>
  <si>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</si>
  <si>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</si>
  <si>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</si>
  <si>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</si>
  <si>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</si>
  <si>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</si>
  <si>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</si>
  <si>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</si>
  <si>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</si>
  <si>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</si>
  <si>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</si>
  <si>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</si>
  <si>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</si>
  <si>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</si>
  <si>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</si>
  <si>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</si>
  <si>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</si>
  <si>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</si>
  <si>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</si>
  <si>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</si>
  <si>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</si>
  <si>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</si>
  <si>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</si>
  <si>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</si>
  <si>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</si>
  <si>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</si>
  <si>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</si>
  <si>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</si>
  <si>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</si>
  <si>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</si>
  <si>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</si>
  <si>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</si>
  <si>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</si>
  <si>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</si>
  <si>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</si>
  <si>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</si>
  <si>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</si>
  <si>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</si>
  <si>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</si>
  <si>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</si>
  <si>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</si>
  <si>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</si>
  <si>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</si>
  <si>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</si>
  <si>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</si>
  <si>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</si>
  <si>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</si>
  <si>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</si>
  <si>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</si>
  <si>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</si>
  <si>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</si>
  <si>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</si>
  <si>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</si>
  <si>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</si>
  <si>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</si>
  <si>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</si>
  <si>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</si>
  <si>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</si>
  <si>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</si>
  <si>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</si>
  <si>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</si>
  <si>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</si>
  <si>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</si>
  <si>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</si>
  <si>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</si>
  <si>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</si>
  <si>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</si>
  <si>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</si>
  <si>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</si>
  <si>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</si>
  <si>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</si>
  <si>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</si>
  <si>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</si>
  <si>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</si>
  <si>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</si>
  <si>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</si>
  <si>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</si>
  <si>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</si>
  <si>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</si>
  <si>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</si>
  <si>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</si>
  <si>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</si>
  <si>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</si>
  <si>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</si>
  <si>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</si>
  <si>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</si>
  <si>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</si>
  <si>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</si>
  <si>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</si>
  <si>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</si>
  <si>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</si>
  <si>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</si>
  <si>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</si>
  <si>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</si>
  <si>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</si>
  <si>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</si>
  <si>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</si>
  <si>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</si>
  <si>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</si>
  <si>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</si>
  <si>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</si>
  <si>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</si>
  <si>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</si>
  <si>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</si>
  <si>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</si>
  <si>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</si>
  <si>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</si>
  <si>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</si>
  <si>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</si>
  <si>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</si>
  <si>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</si>
  <si>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</si>
  <si>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</si>
  <si>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</si>
  <si>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</si>
  <si>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</si>
  <si>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</si>
  <si>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</si>
  <si>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</si>
  <si>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</si>
  <si>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</si>
  <si>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</si>
  <si>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</si>
  <si>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</si>
  <si>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</si>
  <si>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</si>
  <si>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</si>
  <si>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</si>
  <si>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</si>
  <si>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</si>
  <si>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</si>
  <si>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</si>
  <si>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</si>
  <si>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</si>
  <si>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</si>
  <si>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</si>
  <si>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</si>
  <si>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</si>
  <si>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</si>
  <si>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</si>
  <si>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</si>
  <si>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</si>
  <si>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</si>
  <si>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</si>
  <si>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</si>
  <si>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</si>
  <si>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</si>
  <si>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</si>
  <si>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</si>
  <si>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</si>
  <si>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</si>
  <si>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</si>
  <si>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</si>
  <si>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</si>
  <si>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</si>
  <si>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</si>
  <si>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</si>
  <si>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</si>
  <si>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</si>
  <si>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</si>
  <si>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</si>
  <si>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</si>
  <si>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</si>
  <si>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</si>
  <si>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</si>
  <si>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</si>
  <si>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</si>
  <si>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</si>
  <si>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</si>
  <si>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</si>
  <si>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</si>
  <si>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</si>
  <si>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</si>
  <si>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</si>
  <si>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</si>
  <si>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</si>
  <si>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</si>
  <si>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</si>
  <si>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</si>
  <si>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</si>
  <si>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</si>
  <si>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</si>
  <si>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</si>
  <si>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</si>
  <si>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</si>
  <si>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</si>
  <si>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</si>
  <si>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</si>
  <si>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</si>
  <si>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</si>
  <si>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</si>
  <si>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</si>
  <si>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</si>
  <si>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</si>
  <si>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</si>
  <si>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</si>
  <si>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</si>
  <si>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</si>
  <si>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</si>
  <si>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</si>
  <si>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</si>
  <si>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</si>
  <si>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</si>
  <si>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</si>
  <si>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</si>
  <si>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</si>
  <si>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</si>
  <si>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</si>
  <si>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</si>
  <si>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</si>
  <si>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</si>
  <si>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</si>
  <si>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</si>
  <si>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</si>
  <si>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</si>
  <si>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</si>
  <si>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</si>
  <si>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</si>
  <si>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</si>
  <si>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</si>
  <si>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</si>
  <si>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</si>
  <si>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</si>
  <si>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</si>
  <si>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</si>
  <si>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</si>
  <si>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</si>
  <si>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</si>
  <si>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</si>
  <si>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</si>
  <si>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</si>
  <si>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</si>
  <si>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</si>
  <si>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</si>
  <si>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</si>
  <si>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</si>
  <si>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</si>
  <si>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</si>
  <si>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</si>
  <si>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</si>
  <si>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</si>
  <si>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</si>
  <si>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</si>
  <si>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</si>
  <si>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</si>
  <si>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</si>
  <si>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</si>
  <si>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</si>
  <si>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</si>
  <si>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</si>
  <si>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</si>
  <si>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</si>
  <si>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</si>
  <si>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</si>
  <si>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</si>
  <si>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</si>
  <si>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</si>
  <si>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</si>
  <si>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</si>
  <si>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</si>
  <si>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</si>
  <si>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</si>
  <si>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</si>
  <si>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</si>
  <si>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</si>
  <si>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</si>
  <si>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</si>
  <si>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</si>
  <si>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</si>
  <si>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</si>
  <si>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</si>
  <si>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</si>
  <si>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</si>
  <si>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</si>
  <si>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</si>
  <si>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</si>
  <si>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</si>
  <si>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</si>
  <si>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</si>
  <si>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</si>
  <si>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</si>
  <si>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</si>
  <si>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</si>
  <si>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</si>
  <si>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</si>
  <si>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</si>
  <si>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</si>
  <si>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</si>
  <si>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</si>
  <si>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</si>
  <si>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</si>
  <si>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</si>
  <si>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</si>
  <si>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</si>
  <si>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</si>
  <si>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</si>
  <si>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</si>
  <si>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</si>
  <si>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</si>
  <si>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</si>
  <si>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</si>
  <si>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</si>
  <si>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</si>
  <si>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</si>
  <si>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</si>
  <si>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</si>
  <si>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</si>
  <si>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</si>
  <si>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</si>
  <si>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</si>
  <si>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</si>
  <si>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</si>
  <si>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</si>
  <si>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</si>
  <si>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</si>
  <si>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</si>
  <si>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</si>
  <si>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</si>
  <si>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</si>
  <si>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</si>
  <si>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</si>
  <si>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</si>
  <si>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</si>
  <si>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</si>
  <si>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</si>
  <si>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</si>
  <si>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</si>
  <si>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</si>
  <si>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</si>
  <si>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</si>
  <si>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</si>
  <si>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</si>
  <si>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</si>
  <si>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</si>
  <si>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</si>
  <si>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</si>
  <si>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</si>
  <si>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</si>
  <si>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</si>
  <si>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</si>
  <si>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</si>
  <si>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</si>
  <si>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</si>
  <si>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</si>
  <si>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</si>
  <si>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</si>
  <si>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</si>
  <si>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</si>
  <si>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</si>
  <si>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</si>
  <si>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</si>
  <si>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</si>
  <si>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</si>
  <si>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</si>
  <si>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</si>
  <si>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</si>
  <si>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</si>
  <si>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</si>
  <si>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</si>
  <si>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</si>
  <si>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</si>
  <si>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</si>
  <si>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</si>
  <si>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</si>
  <si>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</si>
  <si>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</si>
  <si>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</si>
  <si>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</si>
  <si>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</si>
  <si>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</si>
  <si>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</si>
  <si>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</si>
  <si>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</si>
  <si>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</si>
  <si>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</si>
  <si>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</si>
  <si>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</si>
  <si>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</si>
  <si>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</si>
  <si>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</si>
  <si>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</si>
  <si>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</si>
  <si>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</si>
  <si>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</si>
  <si>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</si>
  <si>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</si>
  <si>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</si>
  <si>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</si>
  <si>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</si>
  <si>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</si>
  <si>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</si>
  <si>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</si>
  <si>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</si>
  <si>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</si>
  <si>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</si>
  <si>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</si>
  <si>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</si>
  <si>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</si>
  <si>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</si>
  <si>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</si>
  <si>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</si>
  <si>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</si>
  <si>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</si>
  <si>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</si>
  <si>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</si>
  <si>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</si>
  <si>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</si>
  <si>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</si>
  <si>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</si>
  <si>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</si>
  <si>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</si>
  <si>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</si>
  <si>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</si>
  <si>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</si>
  <si>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</si>
  <si>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</si>
  <si>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</si>
  <si>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</si>
  <si>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</si>
  <si>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</si>
  <si>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</si>
  <si>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</si>
  <si>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</si>
  <si>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</si>
  <si>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</si>
  <si>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</si>
  <si>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</si>
  <si>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</si>
  <si>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</si>
  <si>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</si>
  <si>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</si>
  <si>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</si>
  <si>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</si>
  <si>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</si>
  <si>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</si>
  <si>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</si>
  <si>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</si>
  <si>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</si>
  <si>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</si>
  <si>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</si>
  <si>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</si>
  <si>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</si>
  <si>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</si>
  <si>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</si>
  <si>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</si>
  <si>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</si>
  <si>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</si>
  <si>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</si>
  <si>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</si>
  <si>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</si>
  <si>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</si>
  <si>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</si>
  <si>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</si>
  <si>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</si>
  <si>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</si>
  <si>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</si>
  <si>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</si>
  <si>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</si>
  <si>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</si>
  <si>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</si>
  <si>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</si>
  <si>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</si>
  <si>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</si>
  <si>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</si>
  <si>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</si>
  <si>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</si>
  <si>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</si>
  <si>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</si>
  <si>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</si>
  <si>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</si>
  <si>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</si>
  <si>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</si>
  <si>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</si>
  <si>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</si>
  <si>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</si>
  <si>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</si>
  <si>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</si>
  <si>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</si>
  <si>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</si>
  <si>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</si>
  <si>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</si>
  <si>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</si>
  <si>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</si>
  <si>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</si>
  <si>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</si>
  <si>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</si>
  <si>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</si>
  <si>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</si>
  <si>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</si>
  <si>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</si>
  <si>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</si>
  <si>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</si>
  <si>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</si>
  <si>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</si>
  <si>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</si>
  <si>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</si>
  <si>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</si>
  <si>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</si>
  <si>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</si>
  <si>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</si>
  <si>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</si>
  <si>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</si>
  <si>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</si>
  <si>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</si>
  <si>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</si>
  <si>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</si>
  <si>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</si>
  <si>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</si>
  <si>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</si>
  <si>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</si>
  <si>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</si>
  <si>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</si>
  <si>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</si>
  <si>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</si>
  <si>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</si>
  <si>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</si>
  <si>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</si>
  <si>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</si>
  <si>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</si>
  <si>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</si>
  <si>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</si>
  <si>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</si>
  <si>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</si>
  <si>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</si>
  <si>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</si>
  <si>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</si>
  <si>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</si>
  <si>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</si>
  <si>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</si>
  <si>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</si>
  <si>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</si>
  <si>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</si>
  <si>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</si>
  <si>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</si>
  <si>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</si>
  <si>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</si>
  <si>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</si>
  <si>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</si>
  <si>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</si>
  <si>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</si>
  <si>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</si>
  <si>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</si>
  <si>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</si>
  <si>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</si>
  <si>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</si>
  <si>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</si>
  <si>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</si>
  <si>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</si>
  <si>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</si>
  <si>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</si>
  <si>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</si>
  <si>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</si>
  <si>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</si>
  <si>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</si>
  <si>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</si>
  <si>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</si>
  <si>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</si>
  <si>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</si>
  <si>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</si>
  <si>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</si>
  <si>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</si>
  <si>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</si>
  <si>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</si>
  <si>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</si>
  <si>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</si>
  <si>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</si>
  <si>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</si>
  <si>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</si>
  <si>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</si>
  <si>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</si>
  <si>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</si>
  <si>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</si>
  <si>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</si>
  <si>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</si>
  <si>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</si>
  <si>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</si>
  <si>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</si>
  <si>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</si>
  <si>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</si>
  <si>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</si>
  <si>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</si>
  <si>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</si>
  <si>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</si>
  <si>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</si>
  <si>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</si>
  <si>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</si>
  <si>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</si>
  <si>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</si>
  <si>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</si>
  <si>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</si>
  <si>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</si>
  <si>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</si>
  <si>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</si>
  <si>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</si>
  <si>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</si>
  <si>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</si>
  <si>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</si>
  <si>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</si>
  <si>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</si>
  <si>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</si>
  <si>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</si>
  <si>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</si>
  <si>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</si>
  <si>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</si>
  <si>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</si>
  <si>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</si>
  <si>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</si>
  <si>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</si>
  <si>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</si>
  <si>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</si>
  <si>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</si>
  <si>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</si>
  <si>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</si>
  <si>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</si>
  <si>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</si>
  <si>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</si>
  <si>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</si>
  <si>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</si>
  <si>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</si>
  <si>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</si>
  <si>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</si>
  <si>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</si>
  <si>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</si>
  <si>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</si>
  <si>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</si>
  <si>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</si>
  <si>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</si>
  <si>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</si>
  <si>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</si>
  <si>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</si>
  <si>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</si>
  <si>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</si>
  <si>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</si>
  <si>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</si>
  <si>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</si>
  <si>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</si>
  <si>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</si>
  <si>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</si>
  <si>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</si>
  <si>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</si>
  <si>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</si>
  <si>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</si>
  <si>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</si>
  <si>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</si>
  <si>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</si>
  <si>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</si>
  <si>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</si>
  <si>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</si>
  <si>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</si>
  <si>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</si>
  <si>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</si>
  <si>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</si>
  <si>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</si>
  <si>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</si>
  <si>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</si>
  <si>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</si>
  <si>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</si>
  <si>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</si>
  <si>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</si>
  <si>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</si>
  <si>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</si>
  <si>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</si>
  <si>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</si>
  <si>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</si>
  <si>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</si>
  <si>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</si>
  <si>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</si>
  <si>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</si>
  <si>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</si>
  <si>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</si>
  <si>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</si>
  <si>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</si>
  <si>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</si>
  <si>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</si>
  <si>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</si>
  <si>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</si>
  <si>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</si>
  <si>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</si>
  <si>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</si>
  <si>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</si>
  <si>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</si>
  <si>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</si>
  <si>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</si>
  <si>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</si>
  <si>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</si>
  <si>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</si>
  <si>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</si>
  <si>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</si>
  <si>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</si>
  <si>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</si>
  <si>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</si>
  <si>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</si>
  <si>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</si>
  <si>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</si>
  <si>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</si>
  <si>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</si>
  <si>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</si>
  <si>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</si>
  <si>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</si>
  <si>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</si>
  <si>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</si>
  <si>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</si>
  <si>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</si>
  <si>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</si>
  <si>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</si>
  <si>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</si>
  <si>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</si>
  <si>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</si>
  <si>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</si>
  <si>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</si>
  <si>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</si>
  <si>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</si>
  <si>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</si>
  <si>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</si>
  <si>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</si>
  <si>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</si>
  <si>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</si>
  <si>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</si>
  <si>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</si>
  <si>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</si>
  <si>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</si>
  <si>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</si>
  <si>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</si>
  <si>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</si>
  <si>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</si>
  <si>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</si>
  <si>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</si>
  <si>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</si>
  <si>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</si>
  <si>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</si>
  <si>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</si>
  <si>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</si>
  <si>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</si>
  <si>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</si>
  <si>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</si>
  <si>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</si>
  <si>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</si>
  <si>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</si>
  <si>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</si>
  <si>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</si>
  <si>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</si>
  <si>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</si>
  <si>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</si>
  <si>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</si>
  <si>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</si>
  <si>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</si>
  <si>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</si>
  <si>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</si>
  <si>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</si>
  <si>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</si>
  <si>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</si>
  <si>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</si>
  <si>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</si>
  <si>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</si>
  <si>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</si>
  <si>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</si>
  <si>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</si>
  <si>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</si>
  <si>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</si>
  <si>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</si>
  <si>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</si>
  <si>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</si>
  <si>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</si>
  <si>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</si>
  <si>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</si>
  <si>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</si>
  <si>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</si>
  <si>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</si>
  <si>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</si>
  <si>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</si>
  <si>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</si>
  <si>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</si>
  <si>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</si>
  <si>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</si>
  <si>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</si>
  <si>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</si>
  <si>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</si>
  <si>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</si>
  <si>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</si>
  <si>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</si>
  <si>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</si>
  <si>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</si>
  <si>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</si>
  <si>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</si>
  <si>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</si>
  <si>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</si>
  <si>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</si>
  <si>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</si>
  <si>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</si>
  <si>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</si>
  <si>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</si>
  <si>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</si>
  <si>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</si>
  <si>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</si>
  <si>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</si>
  <si>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</si>
  <si>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</si>
  <si>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</si>
  <si>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</si>
  <si>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</si>
  <si>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</si>
  <si>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</si>
  <si>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</si>
  <si>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</si>
  <si>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</si>
  <si>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</si>
  <si>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</si>
  <si>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</si>
  <si>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</si>
  <si>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</si>
  <si>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</si>
  <si>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</si>
  <si>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</si>
  <si>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</si>
  <si>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</si>
  <si>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</si>
  <si>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</si>
  <si>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</si>
  <si>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</si>
  <si>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</si>
  <si>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</si>
  <si>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</si>
  <si>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</si>
  <si>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</si>
  <si>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</si>
  <si>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</si>
  <si>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</si>
  <si>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</si>
  <si>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</si>
  <si>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</si>
  <si>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</si>
  <si>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</si>
  <si>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</si>
  <si>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</si>
  <si>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</si>
  <si>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</si>
  <si>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</si>
  <si>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</si>
  <si>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</si>
  <si>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</si>
  <si>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</si>
  <si>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</si>
  <si>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</si>
  <si>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</si>
  <si>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</si>
  <si>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</si>
  <si>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</si>
  <si>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</si>
  <si>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</si>
  <si>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</si>
  <si>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</si>
  <si>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</si>
  <si>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</si>
  <si>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</si>
  <si>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</si>
  <si>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</si>
  <si>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</si>
  <si>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</si>
  <si>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</si>
  <si>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</si>
  <si>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</si>
  <si>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</si>
  <si>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</si>
  <si>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</si>
  <si>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</si>
  <si>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</si>
  <si>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</si>
  <si>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</si>
  <si>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</si>
  <si>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</si>
  <si>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</si>
  <si>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</si>
  <si>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</si>
  <si>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</si>
  <si>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</si>
  <si>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</si>
  <si>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</si>
  <si>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</si>
  <si>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</si>
  <si>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</si>
  <si>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</si>
  <si>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</si>
  <si>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</si>
  <si>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</si>
  <si>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</si>
  <si>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</si>
  <si>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</si>
  <si>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</si>
  <si>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</si>
  <si>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</si>
  <si>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</si>
  <si>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</si>
  <si>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</si>
  <si>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</si>
  <si>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</si>
  <si>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</si>
  <si>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</si>
  <si>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</si>
  <si>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</si>
  <si>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</si>
  <si>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</si>
  <si>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</si>
  <si>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</si>
  <si>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</si>
  <si>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</si>
  <si>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</si>
  <si>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</si>
  <si>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</si>
  <si>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</si>
  <si>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</si>
  <si>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</si>
  <si>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</si>
  <si>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</si>
  <si>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</si>
  <si>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</si>
  <si>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</si>
  <si>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</si>
  <si>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</si>
  <si>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</si>
  <si>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</si>
  <si>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</si>
  <si>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</si>
  <si>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</si>
  <si>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</si>
  <si>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</si>
  <si>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</si>
  <si>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</si>
  <si>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</si>
  <si>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</si>
  <si>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</si>
  <si>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</si>
  <si>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</si>
  <si>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</si>
  <si>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</si>
  <si>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</si>
  <si>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</si>
  <si>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</si>
  <si>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</si>
  <si>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</si>
  <si>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</si>
  <si>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</si>
  <si>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</si>
  <si>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</si>
  <si>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</si>
  <si>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</si>
  <si>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</si>
  <si>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</si>
  <si>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</si>
  <si>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</si>
  <si>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</si>
  <si>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</si>
  <si>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</si>
  <si>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</si>
  <si>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</si>
  <si>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</si>
  <si>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</si>
  <si>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</si>
  <si>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</si>
  <si>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</si>
  <si>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</si>
  <si>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</si>
  <si>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</si>
  <si>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</si>
  <si>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</si>
  <si>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</si>
  <si>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</si>
  <si>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</si>
  <si>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</si>
  <si>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</si>
  <si>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</si>
  <si>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</si>
  <si>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</si>
  <si>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</si>
  <si>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</si>
  <si>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</si>
  <si>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</si>
  <si>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</si>
  <si>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</si>
  <si>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</si>
  <si>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</si>
  <si>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</si>
  <si>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</si>
  <si>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</si>
  <si>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</si>
  <si>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</si>
  <si>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</si>
  <si>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</si>
  <si>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</si>
  <si>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</si>
  <si>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</si>
  <si>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</si>
  <si>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</si>
  <si>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</si>
  <si>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</si>
  <si>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</si>
  <si>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</si>
  <si>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</si>
  <si>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</si>
  <si>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</si>
  <si>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</si>
  <si>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</si>
  <si>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</si>
  <si>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</si>
  <si>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</si>
  <si>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</si>
  <si>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</si>
  <si>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</si>
  <si>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</si>
  <si>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</si>
  <si>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</si>
  <si>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</si>
  <si>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</si>
  <si>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</si>
  <si>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</si>
  <si>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</si>
  <si>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</si>
  <si>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</si>
  <si>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</si>
  <si>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</si>
  <si>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</si>
  <si>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</si>
  <si>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</si>
  <si>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</si>
  <si>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</si>
  <si>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</si>
  <si>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</si>
  <si>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</si>
  <si>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</si>
  <si>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</si>
  <si>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</si>
  <si>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</si>
  <si>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</si>
  <si>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</si>
  <si>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</si>
  <si>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</si>
  <si>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</si>
  <si>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</si>
  <si>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</si>
  <si>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</si>
  <si>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</si>
  <si>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</si>
  <si>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</si>
  <si>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</si>
  <si>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</si>
  <si>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</si>
  <si>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</si>
  <si>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</si>
  <si>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</si>
  <si>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</si>
  <si>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</si>
  <si>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</si>
  <si>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</si>
  <si>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</si>
  <si>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</si>
  <si>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</si>
  <si>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</si>
  <si>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</si>
  <si>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</si>
  <si>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</si>
  <si>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</si>
  <si>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</si>
  <si>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</si>
  <si>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</si>
  <si>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</si>
  <si>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</si>
  <si>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</si>
  <si>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</si>
  <si>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</si>
  <si>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</si>
  <si>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</si>
  <si>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</si>
  <si>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</si>
  <si>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</si>
  <si>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</si>
  <si>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</si>
  <si>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</si>
  <si>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</si>
  <si>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</si>
  <si>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</si>
  <si>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</si>
  <si>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</si>
  <si>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</si>
  <si>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</si>
  <si>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</si>
  <si>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</si>
  <si>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</si>
  <si>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</si>
  <si>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</si>
  <si>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</si>
  <si>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</si>
  <si>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</si>
  <si>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</si>
  <si>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</si>
  <si>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</si>
  <si>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</si>
  <si>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</si>
  <si>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</si>
  <si>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</si>
  <si>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</si>
  <si>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</si>
  <si>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</si>
  <si>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</si>
  <si>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</si>
  <si>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</si>
  <si>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</si>
  <si>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</si>
  <si>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</si>
  <si>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</si>
  <si>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</si>
  <si>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</si>
  <si>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</si>
  <si>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</si>
  <si>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</si>
  <si>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</si>
  <si>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</si>
  <si>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</si>
  <si>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</si>
  <si>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</si>
  <si>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</si>
  <si>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</si>
  <si>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</si>
  <si>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</si>
  <si>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</si>
  <si>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</si>
  <si>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</si>
  <si>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</si>
  <si>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</si>
  <si>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</si>
  <si>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</si>
  <si>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</si>
  <si>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</si>
  <si>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</si>
  <si>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</si>
  <si>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</si>
  <si>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</si>
  <si>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</si>
  <si>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</si>
  <si>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</si>
  <si>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</si>
  <si>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</si>
  <si>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</si>
  <si>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</si>
  <si>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</si>
  <si>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</si>
  <si>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</si>
  <si>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</si>
  <si>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</si>
  <si>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</si>
  <si>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</si>
  <si>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</si>
  <si>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</si>
  <si>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</si>
  <si>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</si>
  <si>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</si>
  <si>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</si>
  <si>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</si>
  <si>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</si>
  <si>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</si>
  <si>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</si>
  <si>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</si>
  <si>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</si>
  <si>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</si>
  <si>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</si>
  <si>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</si>
  <si>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</si>
  <si>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</si>
  <si>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</si>
  <si>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</si>
  <si>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</si>
  <si>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</si>
  <si>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</si>
  <si>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</si>
  <si>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</si>
  <si>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</si>
  <si>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</si>
  <si>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</si>
  <si>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</si>
  <si>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</si>
  <si>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</si>
  <si>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</si>
  <si>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</si>
  <si>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</si>
  <si>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</si>
  <si>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</si>
  <si>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</si>
  <si>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</si>
  <si>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</si>
  <si>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</si>
  <si>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</si>
  <si>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</si>
  <si>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</si>
  <si>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</si>
  <si>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</si>
  <si>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</si>
  <si>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</si>
  <si>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</si>
  <si>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</si>
  <si>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</si>
  <si>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</si>
  <si>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</si>
  <si>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</si>
  <si>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</si>
  <si>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</si>
  <si>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</si>
  <si>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</si>
  <si>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</si>
  <si>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</si>
  <si>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</si>
  <si>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</si>
  <si>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</si>
  <si>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</si>
  <si>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</si>
  <si>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</si>
  <si>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</si>
  <si>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</si>
  <si>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</si>
  <si>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</si>
  <si>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</si>
  <si>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</si>
  <si>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</si>
  <si>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</si>
  <si>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</si>
  <si>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</si>
  <si>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</si>
  <si>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</si>
  <si>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</si>
  <si>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</si>
  <si>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</si>
  <si>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</si>
  <si>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</si>
  <si>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</si>
  <si>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</si>
  <si>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</si>
  <si>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</si>
  <si>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</si>
  <si>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</si>
  <si>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</si>
  <si>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</si>
  <si>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</si>
  <si>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</si>
  <si>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</si>
  <si>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</si>
  <si>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</si>
  <si>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</si>
  <si>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</si>
  <si>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</si>
  <si>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</si>
  <si>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</si>
  <si>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</si>
  <si>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</si>
  <si>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</si>
  <si>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</si>
  <si>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</si>
  <si>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</si>
  <si>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</si>
  <si>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</si>
  <si>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</si>
  <si>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</si>
  <si>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</si>
  <si>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</si>
  <si>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</si>
  <si>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</si>
  <si>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</si>
  <si>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</si>
  <si>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</si>
  <si>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</si>
  <si>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</si>
  <si>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</si>
  <si>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</si>
  <si>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</si>
  <si>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</si>
  <si>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</si>
  <si>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</si>
  <si>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</si>
  <si>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</si>
  <si>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</si>
  <si>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</si>
  <si>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</si>
  <si>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</si>
  <si>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</si>
  <si>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</si>
  <si>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</si>
  <si>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</si>
  <si>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</si>
  <si>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</si>
  <si>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</si>
  <si>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</si>
  <si>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</si>
  <si>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</si>
  <si>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</si>
  <si>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</si>
  <si>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</si>
  <si>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</si>
  <si>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</si>
  <si>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</si>
  <si>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</si>
  <si>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</si>
  <si>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</si>
  <si>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</si>
  <si>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</si>
  <si>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</si>
  <si>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</si>
  <si>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</si>
  <si>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</si>
  <si>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</si>
  <si>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</si>
  <si>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</si>
  <si>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</si>
  <si>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</si>
  <si>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</si>
  <si>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</si>
  <si>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</si>
  <si>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</si>
  <si>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</si>
  <si>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</si>
  <si>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</si>
  <si>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</si>
  <si>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</si>
  <si>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</si>
  <si>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</si>
  <si>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</si>
  <si>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</si>
  <si>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</si>
  <si>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</si>
  <si>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</si>
  <si>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</si>
  <si>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</si>
  <si>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</si>
  <si>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</si>
  <si>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</si>
  <si>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</si>
  <si>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</si>
  <si>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</si>
  <si>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</si>
  <si>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</si>
  <si>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</si>
  <si>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</si>
  <si>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</si>
  <si>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</si>
  <si>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</si>
  <si>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</si>
  <si>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</si>
  <si>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</si>
  <si>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</si>
  <si>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</si>
  <si>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</si>
  <si>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</si>
  <si>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</si>
  <si>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</si>
  <si>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</si>
  <si>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</si>
  <si>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</si>
  <si>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</si>
  <si>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</si>
  <si>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</si>
  <si>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</si>
  <si>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</si>
  <si>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</si>
  <si>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</si>
  <si>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</si>
  <si>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</si>
  <si>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</si>
  <si>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</si>
  <si>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</si>
  <si>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</si>
  <si>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</si>
  <si>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</si>
  <si>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</si>
  <si>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</si>
  <si>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</si>
  <si>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</si>
  <si>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</si>
  <si>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</si>
  <si>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</si>
  <si>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</si>
  <si>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</si>
  <si>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</si>
  <si>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</si>
  <si>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</si>
  <si>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</si>
  <si>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</si>
  <si>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</si>
  <si>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</si>
  <si>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</si>
  <si>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</si>
  <si>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</si>
  <si>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</si>
  <si>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</si>
  <si>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</si>
  <si>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</si>
  <si>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</si>
  <si>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</si>
  <si>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</si>
  <si>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</si>
  <si>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</si>
  <si>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</si>
  <si>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</si>
  <si>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</si>
  <si>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</si>
  <si>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</si>
  <si>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</si>
  <si>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</si>
  <si>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</si>
  <si>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</si>
  <si>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</si>
  <si>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</si>
  <si>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</si>
  <si>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</si>
  <si>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</si>
  <si>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</si>
  <si>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</si>
  <si>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</si>
  <si>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</si>
  <si>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</si>
  <si>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</si>
  <si>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</si>
  <si>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</si>
  <si>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</si>
  <si>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</si>
  <si>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</si>
  <si>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</si>
  <si>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</si>
  <si>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</si>
  <si>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</si>
  <si>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</si>
  <si>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</si>
  <si>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</si>
  <si>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</si>
  <si>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</si>
  <si>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</si>
  <si>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</si>
  <si>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</si>
  <si>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</si>
  <si>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</si>
  <si>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</si>
  <si>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</si>
  <si>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</si>
  <si>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</si>
  <si>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</si>
  <si>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</si>
  <si>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</si>
  <si>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</si>
  <si>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</si>
  <si>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</si>
  <si>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</si>
  <si>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</si>
  <si>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</si>
  <si>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</si>
  <si>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</si>
  <si>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</si>
  <si>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</si>
  <si>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</si>
  <si>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</si>
  <si>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</si>
  <si>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</si>
  <si>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</si>
  <si>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</si>
  <si>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</si>
  <si>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</si>
  <si>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</si>
  <si>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</si>
  <si>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</si>
  <si>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</si>
  <si>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</si>
  <si>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</si>
  <si>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</si>
  <si>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</si>
  <si>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</si>
  <si>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</si>
  <si>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</si>
  <si>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</si>
  <si>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</si>
  <si>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</si>
  <si>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</si>
  <si>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</si>
  <si>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</si>
  <si>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</si>
  <si>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</si>
  <si>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</si>
  <si>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</si>
  <si>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</si>
  <si>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</si>
  <si>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</si>
  <si>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</si>
  <si>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</si>
  <si>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</si>
  <si>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</si>
  <si>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</si>
  <si>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</si>
  <si>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</si>
  <si>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</si>
  <si>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</si>
  <si>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</si>
  <si>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</si>
  <si>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</si>
  <si>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</si>
  <si>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</si>
  <si>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</si>
  <si>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</si>
  <si>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</si>
  <si>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</si>
  <si>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</si>
  <si>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</si>
  <si>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</si>
  <si>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</si>
  <si>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</si>
  <si>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</si>
  <si>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</si>
  <si>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</si>
  <si>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</si>
  <si>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</si>
  <si>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</si>
  <si>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</si>
  <si>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</si>
  <si>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</si>
  <si>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</si>
  <si>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</si>
  <si>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</si>
  <si>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</si>
  <si>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</si>
  <si>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</si>
  <si>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</si>
  <si>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</si>
  <si>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</si>
  <si>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</si>
  <si>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</si>
  <si>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</si>
  <si>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</si>
  <si>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</si>
  <si>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</si>
  <si>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</si>
  <si>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</si>
  <si>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</si>
  <si>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</si>
  <si>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</si>
  <si>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</si>
  <si>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</si>
  <si>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</si>
  <si>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</si>
  <si>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</si>
  <si>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</si>
  <si>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</si>
  <si>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</si>
  <si>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</si>
  <si>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</si>
  <si>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</si>
  <si>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</si>
  <si>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</si>
  <si>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</si>
  <si>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</si>
  <si>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</si>
  <si>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</si>
  <si>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</si>
  <si>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</si>
  <si>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</si>
  <si>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</si>
  <si>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</si>
  <si>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</si>
  <si>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</si>
  <si>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</si>
  <si>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</si>
  <si>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</si>
  <si>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</si>
  <si>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</si>
  <si>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</si>
  <si>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</si>
  <si>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</si>
  <si>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</si>
  <si>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</si>
  <si>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</si>
  <si>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</si>
  <si>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</si>
  <si>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</si>
  <si>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</si>
  <si>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</si>
  <si>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</si>
  <si>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</si>
  <si>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</si>
  <si>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</si>
  <si>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</si>
  <si>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</si>
  <si>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</si>
  <si>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</si>
  <si>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</si>
  <si>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</si>
  <si>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</si>
  <si>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</si>
  <si>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</si>
  <si>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</si>
  <si>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</si>
  <si>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</si>
  <si>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</si>
  <si>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</si>
  <si>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</si>
  <si>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</si>
  <si>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</si>
  <si>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</si>
  <si>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</si>
  <si>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</si>
  <si>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</si>
  <si>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</si>
  <si>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</si>
  <si>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</si>
  <si>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</si>
  <si>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</si>
  <si>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</si>
  <si>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</si>
  <si>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</si>
  <si>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</si>
  <si>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</si>
  <si>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</si>
  <si>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</si>
  <si>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</si>
  <si>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</si>
  <si>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</si>
  <si>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</si>
  <si>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</si>
  <si>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</si>
  <si>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</si>
  <si>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</si>
  <si>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</si>
  <si>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</si>
  <si>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</si>
  <si>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</si>
  <si>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</si>
  <si>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</si>
  <si>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</si>
  <si>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</si>
  <si>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</si>
  <si>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</si>
  <si>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</si>
  <si>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</si>
  <si>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</si>
  <si>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</si>
  <si>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</si>
  <si>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</si>
  <si>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</si>
  <si>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</si>
  <si>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</si>
  <si>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</si>
  <si>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</si>
  <si>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</si>
  <si>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</si>
  <si>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</si>
  <si>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</si>
  <si>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</si>
  <si>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</si>
  <si>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</si>
  <si>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</si>
  <si>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</si>
  <si>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</si>
  <si>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</si>
  <si>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</si>
  <si>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</si>
  <si>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</si>
  <si>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</si>
  <si>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</si>
  <si>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</si>
  <si>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</si>
  <si>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</si>
  <si>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</si>
  <si>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</si>
  <si>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</si>
  <si>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</si>
  <si>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</si>
  <si>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</si>
  <si>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</si>
  <si>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</si>
  <si>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</si>
  <si>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</si>
  <si>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</si>
  <si>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</si>
  <si>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</si>
  <si>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</si>
  <si>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</si>
  <si>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</si>
  <si>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</si>
  <si>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</si>
  <si>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</si>
  <si>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</si>
  <si>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</si>
  <si>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</si>
  <si>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</si>
  <si>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</si>
  <si>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</si>
  <si>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</si>
  <si>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</si>
  <si>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</si>
  <si>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</si>
  <si>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</si>
  <si>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</si>
  <si>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</si>
  <si>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</si>
  <si>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</si>
  <si>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</si>
  <si>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</si>
  <si>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</si>
  <si>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</si>
  <si>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</si>
  <si>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</si>
  <si>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</si>
  <si>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</si>
  <si>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</si>
  <si>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</si>
  <si>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</si>
  <si>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</si>
  <si>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</si>
  <si>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</si>
  <si>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</si>
  <si>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</si>
  <si>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</si>
  <si>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</si>
  <si>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</si>
  <si>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</si>
  <si>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</si>
  <si>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</si>
  <si>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</si>
  <si>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</si>
  <si>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</si>
  <si>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</si>
  <si>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</si>
  <si>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</si>
  <si>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</si>
  <si>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</si>
  <si>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</si>
  <si>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</si>
  <si>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</si>
  <si>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</si>
  <si>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</si>
  <si>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</si>
  <si>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</si>
  <si>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</si>
  <si>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</si>
  <si>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</si>
  <si>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</si>
  <si>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</si>
  <si>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</si>
  <si>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</si>
  <si>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</si>
  <si>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</si>
  <si>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</si>
  <si>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</si>
  <si>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</si>
  <si>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</si>
  <si>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</si>
  <si>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</si>
  <si>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</si>
  <si>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</si>
  <si>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</si>
  <si>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</si>
  <si>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</si>
  <si>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</si>
  <si>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</si>
  <si>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</si>
  <si>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</si>
  <si>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</si>
  <si>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</si>
  <si>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</si>
  <si>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</si>
  <si>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</si>
  <si>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</si>
  <si>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</si>
  <si>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</si>
  <si>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</si>
  <si>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</si>
  <si>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</si>
  <si>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</si>
  <si>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</si>
  <si>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</si>
  <si>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</si>
  <si>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</si>
  <si>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</si>
  <si>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</si>
  <si>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</si>
  <si>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</si>
  <si>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</si>
  <si>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</si>
  <si>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</si>
  <si>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</si>
  <si>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</si>
  <si>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</si>
  <si>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</si>
  <si>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</si>
  <si>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</si>
  <si>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</si>
  <si>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</si>
  <si>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</si>
  <si>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</si>
  <si>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</si>
  <si>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</si>
  <si>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</si>
  <si>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</si>
  <si>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</si>
  <si>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</si>
  <si>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</si>
  <si>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</si>
  <si>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</si>
  <si>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</si>
  <si>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</si>
  <si>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</si>
  <si>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</si>
  <si>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</si>
  <si>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</si>
  <si>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</si>
  <si>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</si>
  <si>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</si>
  <si>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</si>
  <si>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</si>
  <si>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</si>
  <si>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</si>
  <si>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</si>
  <si>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</si>
  <si>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</si>
  <si>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</si>
  <si>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</si>
  <si>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</si>
  <si>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</si>
  <si>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</si>
  <si>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</si>
  <si>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</si>
  <si>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</si>
  <si>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</si>
  <si>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</si>
  <si>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</si>
  <si>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</si>
  <si>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</si>
  <si>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</si>
  <si>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</si>
  <si>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</si>
  <si>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</si>
  <si>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</si>
  <si>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</si>
  <si>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</si>
  <si>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</si>
  <si>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</si>
  <si>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</si>
  <si>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</si>
  <si>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</si>
  <si>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</si>
  <si>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</si>
  <si>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</si>
  <si>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</si>
  <si>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</si>
  <si>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</si>
  <si>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</si>
  <si>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</si>
  <si>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</si>
  <si>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</si>
  <si>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</si>
  <si>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</si>
  <si>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</si>
  <si>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</si>
  <si>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</si>
  <si>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</si>
  <si>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</si>
  <si>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</si>
  <si>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</si>
  <si>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</si>
  <si>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</si>
  <si>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</si>
  <si>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</si>
  <si>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</si>
  <si>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</si>
  <si>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</si>
  <si>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</si>
  <si>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</si>
  <si>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</si>
  <si>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</si>
  <si>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</si>
  <si>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</si>
  <si>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</si>
  <si>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</si>
  <si>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</si>
  <si>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</si>
  <si>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</si>
  <si>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</si>
  <si>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</si>
  <si>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</si>
  <si>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</si>
  <si>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</si>
  <si>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</si>
  <si>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</si>
  <si>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</si>
  <si>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</si>
  <si>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</si>
  <si>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</si>
  <si>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</si>
  <si>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</si>
  <si>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</si>
  <si>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</si>
  <si>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</si>
  <si>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</si>
  <si>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</si>
  <si>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</si>
  <si>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</si>
  <si>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</si>
  <si>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</si>
  <si>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</si>
  <si>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</si>
  <si>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</si>
  <si>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</si>
  <si>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</si>
  <si>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</si>
  <si>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</si>
  <si>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</si>
  <si>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</si>
  <si>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</si>
  <si>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</si>
  <si>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</si>
  <si>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</si>
  <si>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</si>
  <si>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</si>
  <si>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</si>
  <si>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</si>
  <si>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</si>
  <si>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</si>
  <si>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</si>
  <si>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</si>
  <si>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</si>
  <si>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</si>
  <si>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</si>
  <si>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</si>
  <si>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</si>
  <si>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</si>
  <si>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</si>
  <si>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</si>
  <si>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</si>
  <si>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</si>
  <si>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</si>
  <si>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</si>
  <si>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</si>
  <si>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</si>
  <si>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</si>
  <si>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</si>
  <si>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</si>
  <si>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</si>
  <si>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</si>
  <si>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</si>
  <si>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</si>
  <si>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</si>
  <si>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</si>
  <si>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</si>
  <si>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</si>
  <si>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</si>
  <si>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</si>
  <si>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</si>
  <si>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</si>
  <si>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</si>
  <si>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</si>
  <si>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</si>
  <si>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</si>
  <si>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</si>
  <si>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</si>
  <si>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</si>
  <si>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</si>
  <si>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</si>
  <si>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</si>
  <si>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</si>
  <si>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</si>
  <si>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</si>
  <si>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</si>
  <si>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</si>
  <si>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</si>
  <si>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</si>
  <si>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</si>
  <si>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</si>
  <si>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</si>
  <si>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</si>
  <si>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</si>
  <si>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</si>
  <si>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</si>
  <si>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</si>
  <si>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</si>
  <si>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</si>
  <si>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</si>
  <si>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</si>
  <si>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</si>
  <si>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</si>
  <si>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</si>
  <si>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</si>
  <si>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</si>
  <si>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</si>
  <si>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</si>
  <si>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</si>
  <si>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</si>
  <si>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</si>
  <si>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</si>
  <si>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</si>
  <si>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</si>
  <si>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</si>
  <si>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</si>
  <si>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</si>
  <si>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</si>
  <si>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</si>
  <si>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</si>
  <si>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</si>
  <si>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</si>
  <si>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</si>
  <si>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</si>
  <si>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</si>
  <si>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</si>
  <si>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</si>
  <si>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</si>
  <si>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</si>
  <si>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</si>
  <si>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</si>
  <si>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</si>
  <si>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</si>
  <si>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</si>
  <si>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</si>
  <si>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</si>
  <si>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</si>
  <si>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</si>
  <si>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</si>
  <si>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</si>
  <si>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</si>
  <si>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</si>
  <si>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</si>
  <si>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</si>
  <si>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</si>
  <si>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</si>
  <si>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</si>
  <si>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</si>
  <si>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</si>
  <si>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</si>
  <si>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</si>
  <si>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</si>
  <si>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</si>
  <si>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</si>
  <si>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</si>
  <si>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</si>
  <si>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</si>
  <si>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</si>
  <si>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</si>
  <si>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</si>
  <si>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</si>
  <si>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</si>
  <si>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</si>
  <si>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</si>
  <si>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</si>
  <si>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</si>
  <si>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</si>
  <si>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</si>
  <si>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</si>
  <si>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</si>
  <si>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</si>
  <si>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</si>
  <si>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</si>
  <si>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</si>
  <si>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</si>
  <si>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</si>
  <si>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</si>
  <si>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</si>
  <si>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</si>
  <si>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</si>
  <si>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</si>
  <si>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</si>
  <si>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</si>
  <si>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</si>
  <si>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</si>
  <si>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</si>
  <si>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</si>
  <si>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</si>
  <si>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</si>
  <si>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</si>
  <si>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</si>
  <si>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</si>
  <si>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</si>
  <si>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</si>
  <si>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</si>
  <si>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</si>
  <si>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</si>
  <si>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</si>
  <si>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</si>
  <si>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</si>
  <si>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</si>
  <si>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</si>
  <si>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</si>
  <si>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</si>
  <si>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</si>
  <si>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</si>
  <si>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</si>
  <si>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</si>
  <si>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</si>
  <si>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</si>
  <si>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</si>
  <si>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</si>
  <si>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</si>
  <si>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</si>
  <si>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</si>
  <si>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</si>
  <si>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</si>
  <si>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</si>
  <si>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</si>
  <si>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</si>
  <si>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</si>
  <si>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</si>
  <si>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</si>
  <si>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</si>
  <si>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</si>
  <si>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</si>
  <si>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</si>
  <si>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</si>
  <si>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</si>
  <si>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</si>
  <si>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</si>
  <si>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</si>
  <si>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</si>
  <si>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</si>
  <si>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</si>
  <si>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</si>
  <si>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</si>
  <si>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</si>
  <si>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</si>
  <si>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</si>
  <si>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</si>
  <si>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</si>
  <si>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</si>
  <si>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</si>
  <si>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</si>
  <si>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</si>
  <si>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</si>
  <si>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</si>
  <si>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</si>
  <si>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</si>
  <si>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</si>
  <si>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</si>
  <si>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</si>
  <si>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</si>
  <si>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</si>
  <si>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</si>
  <si>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</si>
  <si>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</si>
  <si>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</si>
  <si>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</si>
  <si>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</si>
  <si>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</si>
  <si>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</si>
  <si>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</si>
  <si>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</si>
  <si>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</si>
  <si>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</si>
  <si>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</si>
  <si>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</si>
  <si>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</si>
  <si>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</si>
  <si>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</si>
  <si>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</si>
  <si>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</si>
  <si>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</si>
  <si>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</si>
  <si>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</si>
  <si>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</si>
  <si>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</si>
  <si>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</si>
  <si>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</si>
  <si>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</si>
  <si>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</si>
  <si>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</si>
  <si>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</si>
  <si>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</si>
  <si>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</si>
  <si>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</si>
  <si>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</si>
  <si>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</si>
  <si>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</si>
  <si>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</si>
  <si>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</si>
  <si>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</si>
  <si>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</si>
  <si>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</si>
  <si>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</si>
  <si>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</si>
  <si>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</si>
  <si>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</si>
  <si>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</si>
  <si>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</si>
  <si>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</si>
  <si>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</si>
  <si>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</si>
  <si>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</si>
  <si>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</si>
  <si>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</si>
  <si>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</si>
  <si>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</si>
  <si>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</si>
  <si>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</si>
  <si>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</si>
  <si>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</si>
  <si>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</si>
  <si>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</si>
  <si>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</si>
  <si>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</si>
  <si>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</si>
  <si>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</si>
  <si>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</si>
  <si>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</si>
  <si>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</si>
  <si>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</si>
  <si>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</si>
  <si>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</si>
  <si>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</si>
  <si>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</si>
  <si>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</si>
  <si>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</si>
  <si>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</si>
  <si>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</si>
  <si>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</si>
  <si>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</si>
  <si>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</si>
  <si>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</si>
  <si>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</si>
  <si>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</si>
  <si>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</si>
  <si>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</si>
  <si>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</si>
  <si>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</si>
  <si>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</si>
  <si>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</si>
  <si>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</si>
  <si>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</si>
  <si>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</si>
  <si>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</si>
  <si>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</si>
  <si>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</si>
  <si>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</si>
  <si>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</si>
  <si>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</si>
  <si>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</si>
  <si>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</si>
  <si>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</si>
  <si>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</si>
  <si>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</si>
  <si>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</si>
  <si>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</si>
  <si>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</si>
  <si>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</si>
  <si>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</si>
  <si>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</si>
  <si>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</si>
  <si>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</si>
  <si>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</si>
  <si>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</si>
  <si>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</si>
  <si>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</si>
  <si>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</si>
  <si>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</si>
  <si>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</si>
  <si>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</si>
  <si>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</si>
  <si>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</si>
  <si>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</si>
  <si>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</si>
  <si>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</si>
  <si>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</si>
  <si>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</si>
  <si>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</si>
  <si>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</si>
  <si>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</si>
  <si>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</si>
  <si>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</si>
  <si>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</si>
  <si>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</si>
  <si>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</si>
  <si>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</si>
  <si>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</si>
  <si>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</si>
  <si>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</si>
  <si>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</si>
  <si>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</si>
  <si>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</si>
  <si>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</si>
  <si>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</si>
  <si>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</si>
  <si>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</si>
  <si>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</si>
  <si>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</si>
  <si>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</si>
  <si>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</si>
  <si>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</si>
  <si>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</si>
  <si>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</si>
  <si>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</si>
  <si>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</si>
  <si>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</si>
  <si>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</si>
  <si>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</si>
  <si>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</si>
  <si>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</si>
  <si>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</si>
  <si>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</si>
  <si>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</si>
  <si>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</si>
  <si>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</si>
  <si>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</si>
  <si>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</si>
  <si>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</si>
  <si>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</si>
  <si>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</si>
  <si>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</si>
  <si>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</si>
  <si>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</si>
  <si>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</si>
  <si>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</si>
  <si>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</si>
  <si>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</si>
  <si>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</si>
  <si>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</si>
  <si>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</si>
  <si>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</si>
  <si>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</si>
  <si>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</si>
  <si>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</si>
  <si>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</si>
  <si>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</si>
  <si>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</si>
  <si>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</si>
  <si>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</si>
  <si>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</si>
  <si>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</si>
  <si>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</si>
  <si>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</si>
  <si>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</si>
  <si>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</si>
  <si>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</si>
  <si>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</si>
  <si>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</si>
  <si>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</si>
  <si>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</si>
  <si>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</si>
  <si>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</si>
  <si>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</si>
  <si>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</si>
  <si>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</si>
  <si>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</si>
  <si>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</si>
  <si>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</si>
  <si>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</si>
  <si>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</si>
  <si>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</si>
  <si>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</si>
  <si>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</si>
  <si>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</si>
  <si>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</si>
  <si>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</si>
  <si>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</si>
  <si>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</si>
  <si>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</si>
  <si>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</si>
  <si>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</si>
  <si>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</si>
  <si>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</si>
  <si>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</si>
  <si>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</si>
  <si>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</si>
  <si>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</si>
  <si>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</si>
  <si>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</si>
  <si>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</si>
  <si>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</si>
  <si>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</si>
  <si>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</si>
  <si>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</si>
  <si>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</si>
  <si>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</si>
  <si>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</si>
  <si>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</si>
  <si>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</si>
  <si>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</si>
  <si>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</si>
  <si>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</si>
  <si>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</si>
  <si>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</si>
  <si>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</si>
  <si>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</si>
  <si>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</si>
  <si>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</si>
  <si>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</si>
  <si>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</si>
  <si>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</si>
  <si>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</si>
  <si>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</si>
  <si>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</si>
  <si>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</si>
  <si>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</si>
  <si>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</si>
  <si>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</si>
  <si>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</si>
  <si>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</si>
  <si>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</si>
  <si>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</si>
  <si>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</si>
  <si>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</si>
  <si>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</si>
  <si>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</si>
  <si>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</si>
  <si>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</si>
  <si>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</si>
  <si>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</si>
  <si>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</si>
  <si>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</si>
  <si>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</si>
  <si>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</si>
  <si>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</si>
  <si>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</si>
  <si>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</si>
  <si>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</si>
  <si>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</si>
  <si>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</si>
  <si>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</si>
  <si>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</si>
  <si>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</si>
  <si>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</si>
  <si>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</si>
  <si>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</si>
  <si>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</si>
  <si>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</si>
  <si>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</si>
  <si>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</si>
  <si>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</si>
  <si>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</si>
  <si>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</si>
  <si>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</si>
  <si>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</si>
  <si>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</si>
  <si>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</si>
  <si>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</si>
  <si>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</si>
  <si>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</si>
  <si>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</si>
  <si>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</si>
  <si>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</si>
  <si>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</si>
  <si>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</si>
  <si>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</si>
  <si>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</si>
  <si>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</si>
  <si>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</si>
  <si>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</si>
  <si>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</si>
  <si>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</si>
  <si>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</si>
  <si>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</si>
  <si>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</si>
  <si>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</si>
  <si>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</si>
  <si>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</si>
  <si>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</si>
  <si>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</si>
  <si>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</si>
  <si>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</si>
  <si>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</si>
  <si>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</si>
  <si>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</si>
  <si>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</si>
  <si>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</si>
  <si>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</si>
  <si>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</si>
  <si>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</si>
  <si>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</si>
  <si>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</si>
  <si>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</si>
  <si>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</si>
  <si>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</si>
  <si>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</si>
  <si>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</si>
  <si>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</si>
  <si>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</si>
  <si>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</si>
  <si>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</si>
  <si>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</si>
  <si>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</si>
  <si>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</si>
  <si>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</si>
  <si>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</si>
  <si>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</si>
  <si>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</si>
  <si>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</si>
  <si>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</si>
  <si>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</si>
  <si>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</si>
  <si>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</si>
  <si>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</si>
  <si>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</si>
  <si>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</si>
  <si>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</si>
  <si>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</si>
  <si>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</si>
  <si>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</si>
  <si>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</si>
  <si>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</si>
  <si>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</si>
  <si>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</si>
  <si>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</si>
  <si>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</si>
  <si>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</si>
  <si>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</si>
  <si>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</si>
  <si>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</si>
  <si>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</si>
  <si>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</si>
  <si>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</si>
  <si>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</si>
  <si>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</si>
  <si>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</si>
  <si>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</si>
  <si>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</si>
  <si>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</si>
  <si>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</si>
  <si>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</si>
  <si>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</si>
  <si>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</si>
  <si>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</si>
  <si>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</si>
  <si>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</si>
  <si>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</si>
  <si>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</si>
  <si>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</si>
  <si>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</si>
  <si>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</si>
  <si>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</si>
  <si>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</si>
  <si>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</si>
  <si>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</si>
  <si>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</si>
  <si>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</si>
  <si>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</si>
  <si>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</si>
  <si>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</si>
  <si>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</si>
  <si>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</si>
  <si>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</si>
  <si>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</si>
  <si>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</si>
  <si>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</si>
  <si>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</si>
  <si>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</si>
  <si>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</si>
  <si>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</si>
  <si>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</si>
  <si>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</si>
  <si>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</si>
  <si>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</si>
  <si>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</si>
  <si>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</si>
  <si>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</si>
  <si>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</si>
  <si>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</si>
  <si>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</si>
  <si>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</si>
  <si>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</si>
  <si>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</si>
  <si>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</si>
  <si>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</si>
  <si>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</si>
  <si>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</si>
  <si>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</si>
  <si>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</si>
  <si>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</si>
  <si>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</si>
  <si>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</si>
  <si>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</si>
  <si>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</si>
  <si>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</si>
  <si>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</si>
  <si>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</si>
  <si>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</si>
  <si>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</si>
  <si>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</si>
  <si>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</si>
  <si>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</si>
  <si>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</si>
  <si>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</si>
  <si>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</si>
  <si>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</si>
  <si>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</si>
  <si>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</si>
  <si>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</si>
  <si>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</si>
  <si>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</si>
  <si>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</si>
  <si>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</si>
  <si>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</si>
  <si>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</si>
  <si>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</si>
  <si>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</si>
  <si>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</si>
  <si>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</si>
  <si>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</si>
  <si>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</si>
  <si>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</si>
  <si>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</si>
  <si>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</si>
  <si>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</si>
  <si>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</si>
  <si>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</si>
  <si>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</si>
  <si>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</si>
  <si>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</si>
  <si>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</si>
  <si>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</si>
  <si>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</si>
  <si>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</si>
  <si>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</si>
  <si>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</si>
  <si>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</si>
  <si>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</si>
  <si>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</si>
  <si>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</si>
  <si>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</si>
  <si>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</si>
  <si>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</si>
  <si>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</si>
  <si>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</si>
  <si>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</si>
  <si>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</si>
  <si>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</si>
  <si>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</si>
  <si>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</si>
  <si>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</si>
  <si>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</si>
  <si>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</si>
  <si>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</si>
  <si>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</si>
  <si>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</si>
  <si>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</si>
  <si>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</si>
  <si>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</si>
  <si>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</si>
  <si>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</si>
  <si>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</si>
  <si>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</si>
  <si>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</si>
  <si>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</si>
  <si>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</si>
  <si>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</si>
  <si>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</si>
  <si>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</si>
  <si>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</si>
  <si>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</si>
  <si>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</si>
  <si>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</si>
  <si>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</si>
  <si>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</si>
  <si>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</si>
  <si>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</si>
  <si>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</si>
  <si>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</si>
  <si>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</si>
  <si>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</si>
  <si>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</si>
  <si>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</si>
  <si>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</si>
  <si>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</si>
  <si>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</si>
  <si>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</si>
  <si>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</si>
  <si>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</si>
  <si>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</si>
  <si>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</si>
  <si>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</si>
  <si>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</si>
  <si>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</si>
  <si>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</si>
  <si>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</si>
  <si>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</si>
  <si>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</si>
  <si>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</si>
  <si>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</si>
  <si>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</si>
  <si>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</si>
  <si>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</si>
  <si>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</si>
  <si>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</si>
  <si>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</si>
  <si>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</si>
  <si>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</si>
  <si>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</si>
  <si>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</si>
  <si>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</si>
  <si>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</si>
  <si>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</si>
  <si>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</si>
  <si>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</si>
  <si>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</si>
  <si>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</si>
  <si>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</si>
  <si>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</si>
  <si>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</si>
  <si>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</si>
  <si>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</si>
  <si>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</si>
  <si>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</si>
  <si>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</si>
  <si>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</si>
  <si>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</si>
  <si>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</si>
  <si>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</si>
  <si>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</si>
  <si>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</si>
  <si>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</si>
  <si>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</si>
  <si>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</si>
  <si>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</si>
  <si>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</si>
  <si>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</si>
  <si>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</si>
  <si>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</si>
  <si>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</si>
  <si>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</si>
  <si>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</si>
  <si>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</si>
  <si>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</si>
  <si>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</si>
  <si>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</si>
  <si>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</si>
  <si>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</si>
  <si>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</si>
  <si>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</si>
  <si>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</si>
  <si>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</si>
  <si>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</si>
  <si>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</si>
  <si>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</si>
  <si>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</si>
  <si>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</si>
  <si>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</si>
  <si>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</si>
  <si>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</si>
  <si>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</si>
  <si>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</si>
  <si>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</si>
  <si>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</si>
  <si>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</si>
  <si>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</si>
  <si>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</si>
  <si>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</si>
  <si>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</si>
  <si>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</si>
  <si>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</si>
  <si>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</si>
  <si>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</si>
  <si>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</si>
  <si>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</si>
  <si>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</si>
  <si>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</si>
  <si>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</si>
  <si>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</si>
  <si>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</si>
  <si>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</si>
  <si>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</si>
  <si>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</si>
  <si>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</si>
  <si>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</si>
  <si>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</si>
  <si>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</si>
  <si>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</si>
  <si>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</si>
  <si>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</si>
  <si>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</si>
  <si>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</si>
  <si>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</si>
  <si>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</si>
  <si>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</si>
  <si>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</si>
  <si>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</si>
  <si>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</si>
  <si>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</si>
  <si>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</si>
  <si>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</si>
  <si>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</si>
  <si>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</si>
  <si>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</si>
  <si>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</si>
  <si>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</si>
  <si>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</si>
  <si>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</si>
  <si>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</si>
  <si>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</si>
  <si>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</si>
  <si>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</si>
  <si>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</si>
  <si>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</si>
  <si>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</si>
  <si>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</si>
  <si>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</si>
  <si>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</si>
  <si>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</si>
  <si>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</si>
  <si>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</si>
  <si>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</si>
  <si>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</si>
  <si>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</si>
  <si>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</si>
  <si>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</si>
  <si>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</si>
  <si>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</si>
  <si>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</si>
  <si>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</si>
  <si>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</si>
  <si>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</si>
  <si>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</si>
  <si>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</si>
  <si>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</si>
  <si>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</si>
  <si>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</si>
  <si>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</si>
  <si>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</si>
  <si>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</si>
  <si>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</si>
  <si>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</si>
  <si>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</si>
  <si>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</si>
  <si>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</si>
  <si>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</si>
  <si>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</si>
  <si>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</si>
  <si>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</si>
  <si>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</si>
  <si>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</si>
  <si>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</si>
  <si>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</si>
  <si>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</si>
  <si>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</si>
  <si>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</si>
  <si>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</si>
  <si>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</si>
  <si>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</si>
  <si>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</si>
  <si>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</si>
  <si>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</si>
  <si>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</si>
  <si>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</si>
  <si>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</si>
  <si>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</si>
  <si>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</si>
  <si>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</si>
  <si>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</si>
  <si>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</si>
  <si>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</si>
  <si>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</si>
  <si>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</si>
  <si>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</si>
  <si>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</si>
  <si>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</si>
  <si>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</si>
  <si>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</si>
  <si>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</si>
  <si>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</si>
  <si>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</si>
  <si>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</si>
  <si>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</si>
  <si>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</si>
  <si>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</si>
  <si>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</si>
  <si>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</si>
  <si>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</si>
  <si>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</si>
  <si>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</si>
  <si>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</si>
  <si>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</si>
  <si>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</si>
  <si>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</si>
  <si>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</si>
  <si>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</si>
  <si>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</si>
  <si>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</si>
  <si>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</si>
  <si>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</si>
  <si>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</si>
  <si>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</si>
  <si>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</si>
  <si>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</si>
  <si>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</si>
  <si>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</si>
  <si>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</si>
  <si>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</si>
  <si>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</si>
  <si>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</si>
  <si>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</si>
  <si>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</si>
  <si>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</si>
  <si>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</si>
  <si>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</si>
  <si>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</si>
  <si>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</si>
  <si>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</si>
  <si>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</si>
  <si>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</si>
  <si>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</si>
  <si>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</si>
  <si>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</si>
  <si>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</si>
  <si>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</si>
  <si>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</si>
  <si>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</si>
  <si>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</si>
  <si>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</si>
  <si>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</si>
  <si>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</si>
  <si>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</si>
  <si>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</si>
  <si>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</si>
  <si>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</si>
  <si>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</si>
  <si>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</si>
  <si>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</si>
  <si>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</si>
  <si>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</si>
  <si>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</si>
  <si>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</si>
  <si>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</si>
  <si>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</si>
  <si>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</si>
  <si>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</si>
  <si>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</si>
  <si>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</si>
  <si>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</si>
  <si>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</si>
  <si>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</si>
  <si>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</si>
  <si>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</si>
  <si>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</si>
  <si>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</si>
  <si>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</si>
  <si>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</si>
  <si>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</si>
  <si>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</si>
  <si>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</si>
  <si>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</si>
  <si>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</si>
  <si>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</si>
  <si>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</si>
  <si>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</si>
  <si>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</si>
  <si>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</si>
  <si>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</si>
  <si>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</si>
  <si>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</si>
  <si>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</si>
  <si>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</si>
  <si>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</si>
  <si>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</si>
  <si>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</si>
  <si>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</si>
  <si>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</si>
  <si>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</si>
  <si>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</si>
  <si>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</si>
  <si>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</si>
  <si>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</si>
  <si>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</si>
  <si>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</si>
  <si>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</si>
  <si>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</si>
  <si>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</si>
  <si>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</si>
  <si>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</si>
  <si>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</si>
  <si>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</si>
  <si>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</si>
  <si>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</si>
  <si>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</si>
  <si>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</si>
  <si>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</si>
  <si>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</si>
  <si>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</si>
  <si>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</si>
  <si>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</si>
  <si>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</si>
  <si>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</si>
  <si>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</si>
  <si>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</si>
  <si>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</si>
  <si>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</si>
  <si>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</si>
  <si>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</si>
  <si>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</si>
  <si>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</si>
  <si>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</si>
  <si>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</si>
  <si>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</si>
  <si>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</si>
  <si>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</si>
  <si>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</si>
  <si>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</si>
  <si>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</si>
  <si>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</si>
  <si>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</si>
  <si>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</si>
  <si>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</si>
  <si>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</si>
  <si>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</si>
  <si>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</si>
  <si>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</si>
  <si>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</si>
  <si>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</si>
  <si>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</si>
  <si>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</si>
  <si>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</si>
  <si>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</si>
  <si>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</si>
  <si>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</si>
  <si>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</si>
  <si>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</si>
  <si>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</si>
  <si>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</si>
  <si>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</si>
  <si>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</si>
  <si>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</si>
  <si>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</si>
  <si>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</si>
  <si>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</si>
  <si>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</si>
  <si>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</si>
  <si>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</si>
  <si>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</si>
  <si>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</si>
  <si>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</si>
  <si>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</si>
  <si>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</si>
  <si>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</si>
  <si>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</si>
  <si>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</si>
  <si>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</si>
  <si>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</si>
  <si>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</si>
  <si>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</si>
  <si>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</si>
  <si>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</si>
  <si>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</si>
  <si>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</si>
  <si>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</si>
  <si>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</si>
  <si>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</si>
  <si>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</si>
  <si>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</si>
  <si>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</si>
  <si>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</si>
  <si>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</si>
  <si>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</si>
  <si>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</si>
  <si>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</si>
  <si>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</si>
  <si>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</si>
  <si>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</si>
  <si>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</si>
  <si>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</si>
  <si>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</si>
  <si>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</si>
  <si>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</si>
  <si>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</si>
  <si>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</si>
  <si>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</si>
  <si>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</si>
  <si>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</si>
  <si>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</si>
  <si>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</si>
  <si>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</si>
  <si>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</si>
  <si>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</si>
  <si>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</si>
  <si>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</si>
  <si>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</si>
  <si>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</si>
  <si>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</si>
  <si>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</si>
  <si>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</si>
  <si>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</si>
  <si>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</si>
  <si>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</si>
  <si>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</si>
  <si>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</si>
  <si>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</si>
  <si>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</si>
  <si>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</si>
  <si>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</si>
  <si>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</si>
  <si>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</si>
  <si>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</si>
  <si>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</si>
  <si>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</si>
  <si>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</si>
  <si>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</si>
  <si>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</si>
  <si>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</si>
  <si>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</si>
  <si>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</si>
  <si>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</si>
  <si>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</si>
  <si>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</si>
  <si>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</si>
  <si>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</si>
  <si>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</si>
  <si>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</si>
  <si>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</si>
  <si>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</si>
  <si>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</si>
  <si>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</si>
  <si>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</si>
  <si>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</si>
  <si>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</si>
  <si>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</si>
  <si>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</si>
  <si>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</si>
  <si>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</si>
  <si>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</si>
  <si>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</si>
  <si>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</si>
  <si>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</si>
  <si>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</si>
  <si>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</si>
  <si>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</si>
  <si>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</si>
  <si>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</si>
  <si>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</si>
  <si>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</si>
  <si>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</si>
  <si>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</si>
  <si>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</si>
  <si>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</si>
  <si>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</si>
  <si>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</si>
  <si>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</si>
  <si>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</si>
  <si>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</si>
  <si>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</si>
  <si>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</si>
  <si>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</si>
  <si>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</si>
  <si>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</si>
  <si>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</si>
  <si>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</si>
  <si>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</si>
  <si>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</si>
  <si>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</si>
  <si>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</si>
  <si>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</si>
  <si>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</si>
  <si>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</si>
  <si>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</si>
  <si>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</si>
  <si>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</si>
  <si>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</si>
  <si>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</si>
  <si>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</si>
  <si>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</si>
  <si>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</si>
  <si>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</si>
  <si>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</si>
  <si>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</si>
  <si>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</si>
  <si>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</si>
  <si>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</si>
  <si>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</si>
  <si>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</si>
  <si>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</si>
  <si>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</si>
  <si>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</si>
  <si>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</si>
  <si>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</si>
  <si>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</si>
  <si>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</si>
  <si>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</si>
  <si>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</si>
  <si>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</si>
  <si>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</si>
  <si>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</si>
  <si>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</si>
  <si>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</si>
  <si>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</si>
  <si>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</si>
  <si>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</si>
  <si>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</si>
  <si>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</si>
  <si>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</si>
  <si>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</si>
  <si>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</si>
  <si>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</si>
  <si>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</si>
  <si>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</si>
  <si>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</si>
  <si>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</si>
  <si>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</si>
  <si>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</si>
  <si>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</si>
  <si>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</si>
  <si>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</si>
  <si>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</si>
  <si>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</si>
  <si>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</si>
  <si>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</si>
  <si>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</si>
  <si>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</si>
  <si>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</si>
  <si>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</si>
  <si>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</si>
  <si>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</si>
  <si>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</si>
  <si>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</si>
  <si>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</si>
  <si>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</si>
  <si>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</si>
  <si>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</si>
  <si>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</si>
  <si>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</si>
  <si>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</si>
  <si>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</si>
  <si>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</si>
  <si>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</si>
  <si>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</si>
  <si>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</si>
  <si>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</si>
  <si>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</si>
  <si>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</si>
  <si>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</si>
  <si>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</si>
  <si>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</si>
  <si>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</si>
  <si>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</si>
  <si>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</si>
  <si>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</si>
  <si>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</si>
  <si>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</si>
  <si>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</si>
  <si>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</si>
  <si>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</si>
  <si>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</si>
  <si>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</si>
  <si>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</si>
  <si>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</si>
  <si>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</si>
  <si>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</si>
  <si>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</si>
  <si>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</si>
  <si>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</si>
  <si>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</si>
  <si>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</si>
  <si>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</si>
  <si>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</si>
  <si>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</si>
  <si>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</si>
  <si>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</si>
  <si>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</si>
  <si>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</si>
  <si>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</si>
  <si>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</si>
  <si>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</si>
  <si>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</si>
  <si>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</si>
  <si>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</si>
  <si>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</si>
  <si>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</si>
  <si>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</si>
  <si>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</si>
  <si>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</si>
  <si>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</si>
  <si>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</si>
  <si>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</si>
  <si>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</si>
  <si>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</si>
  <si>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</si>
  <si>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</si>
  <si>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</si>
  <si>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</si>
  <si>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</si>
  <si>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</si>
  <si>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</si>
  <si>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</si>
  <si>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</si>
  <si>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</si>
  <si>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</si>
  <si>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</si>
  <si>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</si>
  <si>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</si>
  <si>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</si>
  <si>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</si>
  <si>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</si>
  <si>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</si>
  <si>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</si>
  <si>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</si>
  <si>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</si>
  <si>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</si>
  <si>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</si>
  <si>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</si>
  <si>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</si>
  <si>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</si>
  <si>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</si>
  <si>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</si>
  <si>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</si>
  <si>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</si>
  <si>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</si>
  <si>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</si>
  <si>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</si>
  <si>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</si>
  <si>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</si>
  <si>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</si>
  <si>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</si>
  <si>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</si>
  <si>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</si>
  <si>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</si>
  <si>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</si>
  <si>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</si>
  <si>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</si>
  <si>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</si>
  <si>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</si>
  <si>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</si>
  <si>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</si>
  <si>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</si>
  <si>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</si>
  <si>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</si>
  <si>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</si>
  <si>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</si>
  <si>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</si>
  <si>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</si>
  <si>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</si>
  <si>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</si>
  <si>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</si>
  <si>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</si>
  <si>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</si>
  <si>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</si>
  <si>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</si>
  <si>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</si>
  <si>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</si>
  <si>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</si>
  <si>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</si>
  <si>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</si>
  <si>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</si>
  <si>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</si>
  <si>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</si>
  <si>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</si>
  <si>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</si>
  <si>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</si>
  <si>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</si>
  <si>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</si>
  <si>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</si>
  <si>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</si>
  <si>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</si>
  <si>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</si>
  <si>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</si>
  <si>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</si>
  <si>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</si>
  <si>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</si>
  <si>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</si>
  <si>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</si>
  <si>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</si>
  <si>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</si>
  <si>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</si>
  <si>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</si>
  <si>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</si>
  <si>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</si>
  <si>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</si>
  <si>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</si>
  <si>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</si>
  <si>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</si>
  <si>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</si>
  <si>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</si>
  <si>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</si>
  <si>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</si>
  <si>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</si>
  <si>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</si>
  <si>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</si>
  <si>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</si>
  <si>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</si>
  <si>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</si>
  <si>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</si>
  <si>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</si>
  <si>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</si>
  <si>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</si>
  <si>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</si>
  <si>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</si>
  <si>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</si>
  <si>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</si>
  <si>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</si>
  <si>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</si>
  <si>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</si>
  <si>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</si>
  <si>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</si>
  <si>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</si>
  <si>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</si>
  <si>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</si>
  <si>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</si>
  <si>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</si>
  <si>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</si>
  <si>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</si>
  <si>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</si>
  <si>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</si>
  <si>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</si>
  <si>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</si>
  <si>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</si>
  <si>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</si>
  <si>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</si>
  <si>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</si>
  <si>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</si>
  <si>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</si>
  <si>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</si>
  <si>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</si>
  <si>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</si>
  <si>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</si>
  <si>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</si>
  <si>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</si>
  <si>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</si>
  <si>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</si>
  <si>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</si>
  <si>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</si>
  <si>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</si>
  <si>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</si>
  <si>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</si>
  <si>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</si>
  <si>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</si>
  <si>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</si>
  <si>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</si>
  <si>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</si>
  <si>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</si>
  <si>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</si>
  <si>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</si>
  <si>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</si>
  <si>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</si>
  <si>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</si>
  <si>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</si>
  <si>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</si>
  <si>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</si>
  <si>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</si>
  <si>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</si>
  <si>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</si>
  <si>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</si>
  <si>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</si>
  <si>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</si>
  <si>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</si>
  <si>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</si>
  <si>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</si>
  <si>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</si>
  <si>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</si>
  <si>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</si>
  <si>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</si>
  <si>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</si>
  <si>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</si>
  <si>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</si>
  <si>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</si>
  <si>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</si>
  <si>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</si>
  <si>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</si>
  <si>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</si>
  <si>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</si>
  <si>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</si>
  <si>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</si>
  <si>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</si>
  <si>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</si>
  <si>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</si>
  <si>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</si>
  <si>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</si>
  <si>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</si>
  <si>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</si>
  <si>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</si>
  <si>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</si>
  <si>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</si>
  <si>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</si>
  <si>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</si>
  <si>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</si>
  <si>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</si>
  <si>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</si>
  <si>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</si>
  <si>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</si>
  <si>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</si>
  <si>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</si>
  <si>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</si>
  <si>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</si>
  <si>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</si>
  <si>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</si>
  <si>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</si>
  <si>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</si>
  <si>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</si>
  <si>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</si>
  <si>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</si>
  <si>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</si>
  <si>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</si>
  <si>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</si>
  <si>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</si>
  <si>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</si>
  <si>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</si>
  <si>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</si>
  <si>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</si>
  <si>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</si>
  <si>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</si>
  <si>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</si>
  <si>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</si>
  <si>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</si>
  <si>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</si>
  <si>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</si>
  <si>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</si>
  <si>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</si>
  <si>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</si>
  <si>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</si>
  <si>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</si>
  <si>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</si>
  <si>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</si>
  <si>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</si>
  <si>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</si>
  <si>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</si>
  <si>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</si>
  <si>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</si>
  <si>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</si>
  <si>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</si>
  <si>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</si>
  <si>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</si>
  <si>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</si>
  <si>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</si>
  <si>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</si>
  <si>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</si>
  <si>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</si>
  <si>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</si>
  <si>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</si>
  <si>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</si>
  <si>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</si>
  <si>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</si>
  <si>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</si>
  <si>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</si>
  <si>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</si>
  <si>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</si>
  <si>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</si>
  <si>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</si>
  <si>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</si>
  <si>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</si>
  <si>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</si>
  <si>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</si>
  <si>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</si>
  <si>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</si>
  <si>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</si>
  <si>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</si>
  <si>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</si>
  <si>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</si>
  <si>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</si>
  <si>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</si>
  <si>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</si>
  <si>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</si>
  <si>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</si>
  <si>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</si>
  <si>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</si>
  <si>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</si>
  <si>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</si>
  <si>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</si>
  <si>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</si>
  <si>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</si>
  <si>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</si>
  <si>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</si>
  <si>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</si>
  <si>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</si>
  <si>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</si>
  <si>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</si>
  <si>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</si>
  <si>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</si>
  <si>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</si>
  <si>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</si>
  <si>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</si>
  <si>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</si>
  <si>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</si>
  <si>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</si>
  <si>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</si>
  <si>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</si>
  <si>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</si>
  <si>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</si>
  <si>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</si>
  <si>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</si>
  <si>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</si>
  <si>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</si>
  <si>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</si>
  <si>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</si>
  <si>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</si>
  <si>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</si>
  <si>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</si>
  <si>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</si>
  <si>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</si>
  <si>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</si>
  <si>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</si>
  <si>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</si>
  <si>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</si>
  <si>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</si>
  <si>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</si>
  <si>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</si>
  <si>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</si>
  <si>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</si>
  <si>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</si>
  <si>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</si>
  <si>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</si>
  <si>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</si>
  <si>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</si>
  <si>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</si>
  <si>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</si>
  <si>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</si>
  <si>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</si>
  <si>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</si>
  <si>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</si>
  <si>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</si>
  <si>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</si>
  <si>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</si>
  <si>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</si>
  <si>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</si>
  <si>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</si>
  <si>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</si>
  <si>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</si>
  <si>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</si>
  <si>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</si>
  <si>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</si>
  <si>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</si>
  <si>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</si>
  <si>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</si>
  <si>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</si>
  <si>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</si>
  <si>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</si>
  <si>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</si>
  <si>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</si>
  <si>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</si>
  <si>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</si>
  <si>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</si>
  <si>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</si>
  <si>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</si>
  <si>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</si>
  <si>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</si>
  <si>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</si>
  <si>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</si>
  <si>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</si>
  <si>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</si>
  <si>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</si>
  <si>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</si>
  <si>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</si>
  <si>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</si>
  <si>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</si>
  <si>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</si>
  <si>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</si>
  <si>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</si>
  <si>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</si>
  <si>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</si>
  <si>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</si>
  <si>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</si>
  <si>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</si>
  <si>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</si>
  <si>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</si>
  <si>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</si>
  <si>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</si>
  <si>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</si>
  <si>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</si>
  <si>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</si>
  <si>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</si>
  <si>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</si>
  <si>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</si>
  <si>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</si>
  <si>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</si>
  <si>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</si>
  <si>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</si>
  <si>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</si>
  <si>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</si>
  <si>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</si>
  <si>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</si>
  <si>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</si>
  <si>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</si>
  <si>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</si>
  <si>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</si>
  <si>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</si>
  <si>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</si>
  <si>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</si>
  <si>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</si>
  <si>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</si>
  <si>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</si>
  <si>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</si>
  <si>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</si>
  <si>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</si>
  <si>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</si>
  <si>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</si>
  <si>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</si>
  <si>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</si>
  <si>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</si>
  <si>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</si>
  <si>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</si>
  <si>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</si>
  <si>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</si>
  <si>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</si>
  <si>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</si>
  <si>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</si>
  <si>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</si>
  <si>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</si>
  <si>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</si>
  <si>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</si>
  <si>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</si>
  <si>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</si>
  <si>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</si>
  <si>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</si>
  <si>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</si>
  <si>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</si>
  <si>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</si>
  <si>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</si>
  <si>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</si>
  <si>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</si>
  <si>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</si>
  <si>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</si>
  <si>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</si>
  <si>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</si>
  <si>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</si>
  <si>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</si>
  <si>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</si>
  <si>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</si>
  <si>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</si>
  <si>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</si>
  <si>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</si>
  <si>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</si>
  <si>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</si>
  <si>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</si>
  <si>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</si>
  <si>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</si>
  <si>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</si>
  <si>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</si>
  <si>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</si>
  <si>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</si>
  <si>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</si>
  <si>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</si>
  <si>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</si>
  <si>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</si>
  <si>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</si>
  <si>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</si>
  <si>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</si>
  <si>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</si>
  <si>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</si>
  <si>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</si>
  <si>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</si>
  <si>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</si>
  <si>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</si>
  <si>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</si>
  <si>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</si>
  <si>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</si>
  <si>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</si>
  <si>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</si>
  <si>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</si>
  <si>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</si>
  <si>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</si>
  <si>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</si>
  <si>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</si>
  <si>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</si>
  <si>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</si>
  <si>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</si>
  <si>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</si>
  <si>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</si>
  <si>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</si>
  <si>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</si>
  <si>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</si>
  <si>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</si>
  <si>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</si>
  <si>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</si>
  <si>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</si>
  <si>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</si>
  <si>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</si>
  <si>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</si>
  <si>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</si>
  <si>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</si>
  <si>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</si>
  <si>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</si>
  <si>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</si>
  <si>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</si>
  <si>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</si>
  <si>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</si>
  <si>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</si>
  <si>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</si>
  <si>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</si>
  <si>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</si>
  <si>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</si>
  <si>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</si>
  <si>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</si>
  <si>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</si>
  <si>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</si>
  <si>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</si>
  <si>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</si>
  <si>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</si>
  <si>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</si>
  <si>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</si>
  <si>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</si>
  <si>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</si>
  <si>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</si>
  <si>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</si>
  <si>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</si>
  <si>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</si>
  <si>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</si>
  <si>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</si>
  <si>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</si>
  <si>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</si>
  <si>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</si>
  <si>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</si>
  <si>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</si>
  <si>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</si>
  <si>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</si>
  <si>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</si>
  <si>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</si>
  <si>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</si>
  <si>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</si>
  <si>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</si>
  <si>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</si>
  <si>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</si>
  <si>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</si>
  <si>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</si>
  <si>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</si>
  <si>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</si>
  <si>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</si>
  <si>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</si>
  <si>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</si>
  <si>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</si>
  <si>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</si>
  <si>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</si>
  <si>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</si>
  <si>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</si>
  <si>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</si>
  <si>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</si>
  <si>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</si>
  <si>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</si>
  <si>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</si>
  <si>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</si>
  <si>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</si>
  <si>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</si>
  <si>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</si>
  <si>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</si>
  <si>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</si>
  <si>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</si>
  <si>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</si>
  <si>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</si>
  <si>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</si>
  <si>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</si>
  <si>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</si>
  <si>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</si>
  <si>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</si>
  <si>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</si>
  <si>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</si>
  <si>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</si>
  <si>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</si>
  <si>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</si>
  <si>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</si>
  <si>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</si>
  <si>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</si>
  <si>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</si>
  <si>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</si>
  <si>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</si>
  <si>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</si>
  <si>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</si>
  <si>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</si>
  <si>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</si>
  <si>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</si>
  <si>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</si>
  <si>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</si>
  <si>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</si>
  <si>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</si>
  <si>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</si>
  <si>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</si>
  <si>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</si>
  <si>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</si>
  <si>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</si>
  <si>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</si>
  <si>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</si>
  <si>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</si>
  <si>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</si>
  <si>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</si>
  <si>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</si>
  <si>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</si>
  <si>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</si>
  <si>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</si>
  <si>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</si>
  <si>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</si>
  <si>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</si>
  <si>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</si>
  <si>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</si>
  <si>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</si>
  <si>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</si>
  <si>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</si>
  <si>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</si>
  <si>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</si>
  <si>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</si>
  <si>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</si>
  <si>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</si>
  <si>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</si>
  <si>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</si>
  <si>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</si>
  <si>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</si>
  <si>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</si>
  <si>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</si>
  <si>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</si>
  <si>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</si>
  <si>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</si>
  <si>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</si>
  <si>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</si>
  <si>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</si>
  <si>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</si>
  <si>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</si>
  <si>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</si>
  <si>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</si>
  <si>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</si>
  <si>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</si>
  <si>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</si>
  <si>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</si>
  <si>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</si>
  <si>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</si>
  <si>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</si>
  <si>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</si>
  <si>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</si>
  <si>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</si>
  <si>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</si>
  <si>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</si>
  <si>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</si>
  <si>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</si>
  <si>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</si>
  <si>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</si>
  <si>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</si>
  <si>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</si>
  <si>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</si>
  <si>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</si>
  <si>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</si>
  <si>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</si>
  <si>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</si>
  <si>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</si>
  <si>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</si>
  <si>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</si>
  <si>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</si>
  <si>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</si>
  <si>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</si>
  <si>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</si>
  <si>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</si>
  <si>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</si>
  <si>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</si>
  <si>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</si>
  <si>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</si>
  <si>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</si>
  <si>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</si>
  <si>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</si>
  <si>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</si>
  <si>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</si>
  <si>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</si>
  <si>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</si>
  <si>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</si>
  <si>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</si>
  <si>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</si>
  <si>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</si>
  <si>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</si>
  <si>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</si>
  <si>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</si>
  <si>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</si>
  <si>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</si>
  <si>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</si>
  <si>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</si>
  <si>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</si>
  <si>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</si>
  <si>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</si>
  <si>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</si>
  <si>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</si>
  <si>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</si>
  <si>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</si>
  <si>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</si>
  <si>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</si>
  <si>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</si>
  <si>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</si>
  <si>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</si>
  <si>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</si>
  <si>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</si>
  <si>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</si>
  <si>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</si>
  <si>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</si>
  <si>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</si>
  <si>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</si>
  <si>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</si>
  <si>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</si>
  <si>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</si>
  <si>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</si>
  <si>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</si>
  <si>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</si>
  <si>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</si>
  <si>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</si>
  <si>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</si>
  <si>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</si>
  <si>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</si>
  <si>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</si>
  <si>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</si>
  <si>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</si>
  <si>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</si>
  <si>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</si>
  <si>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</si>
  <si>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</si>
  <si>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</si>
  <si>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</si>
  <si>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</si>
  <si>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</si>
  <si>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</si>
  <si>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</si>
  <si>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</si>
  <si>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</si>
  <si>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</si>
  <si>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</si>
  <si>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</si>
  <si>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</si>
  <si>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</si>
  <si>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</si>
  <si>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</si>
  <si>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</si>
  <si>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</si>
  <si>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</si>
  <si>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</si>
  <si>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</si>
  <si>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</si>
  <si>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</si>
  <si>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</si>
  <si>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</si>
  <si>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</si>
  <si>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</si>
  <si>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</si>
  <si>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</si>
  <si>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</si>
  <si>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</si>
  <si>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</si>
  <si>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</si>
  <si>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</si>
  <si>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</si>
  <si>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</si>
  <si>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</si>
  <si>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</si>
  <si>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</si>
  <si>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</si>
  <si>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</si>
  <si>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</si>
  <si>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</si>
  <si>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</si>
  <si>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</si>
  <si>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</si>
  <si>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</si>
  <si>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</si>
  <si>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</si>
  <si>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</si>
  <si>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</si>
  <si>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</si>
  <si>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</si>
  <si>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</si>
  <si>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</si>
  <si>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</si>
  <si>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</si>
  <si>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</si>
  <si>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</si>
  <si>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</si>
  <si>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</si>
  <si>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</si>
  <si>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</si>
  <si>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</si>
  <si>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</si>
  <si>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</si>
  <si>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</si>
  <si>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</si>
  <si>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</si>
  <si>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</si>
  <si>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</si>
  <si>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</si>
  <si>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</si>
  <si>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</si>
  <si>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</si>
  <si>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</si>
  <si>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</si>
  <si>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</si>
  <si>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</si>
  <si>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</si>
  <si>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</si>
  <si>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</si>
  <si>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</si>
  <si>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</si>
  <si>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</si>
  <si>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</si>
  <si>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</si>
  <si>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</si>
  <si>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</si>
  <si>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</si>
  <si>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</si>
  <si>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</si>
  <si>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</si>
  <si>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</si>
  <si>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</si>
  <si>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</si>
  <si>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</si>
  <si>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</si>
  <si>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</si>
  <si>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</si>
  <si>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</si>
  <si>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</si>
  <si>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</si>
  <si>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</si>
  <si>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</si>
  <si>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</si>
  <si>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</si>
  <si>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</si>
  <si>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</si>
  <si>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</si>
  <si>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</si>
  <si>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</si>
  <si>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</si>
  <si>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</si>
  <si>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</si>
  <si>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</si>
  <si>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</si>
  <si>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</si>
  <si>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</si>
  <si>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</si>
  <si>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</si>
  <si>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</si>
  <si>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</si>
  <si>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</si>
  <si>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</si>
  <si>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</si>
  <si>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</si>
  <si>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</si>
  <si>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</si>
  <si>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</si>
  <si>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</si>
  <si>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</si>
  <si>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</si>
  <si>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</si>
  <si>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</si>
  <si>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</si>
  <si>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</si>
  <si>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</si>
  <si>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</si>
  <si>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</si>
  <si>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</si>
  <si>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</si>
  <si>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</si>
  <si>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</si>
  <si>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</si>
  <si>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</si>
  <si>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</si>
  <si>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</si>
  <si>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</si>
  <si>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</si>
  <si>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</si>
  <si>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</si>
  <si>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</si>
  <si>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</si>
  <si>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</si>
  <si>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</si>
  <si>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</si>
  <si>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</si>
  <si>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</si>
  <si>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</si>
  <si>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</si>
  <si>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</si>
  <si>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</si>
  <si>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</si>
  <si>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</si>
  <si>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</si>
  <si>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</si>
  <si>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</si>
  <si>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</si>
  <si>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</si>
  <si>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</si>
  <si>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</si>
  <si>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</si>
  <si>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</si>
  <si>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</si>
  <si>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</si>
  <si>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</si>
  <si>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</si>
  <si>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</si>
  <si>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</si>
  <si>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</si>
  <si>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</si>
  <si>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</si>
  <si>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</si>
  <si>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</si>
  <si>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</si>
  <si>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</si>
  <si>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</si>
  <si>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</si>
  <si>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</si>
  <si>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</si>
  <si>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</si>
  <si>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</si>
  <si>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</si>
  <si>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</si>
  <si>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</si>
  <si>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</si>
  <si>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</si>
  <si>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</si>
  <si>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</si>
  <si>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</si>
  <si>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</si>
  <si>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</si>
  <si>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</si>
  <si>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</si>
  <si>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</si>
  <si>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</si>
  <si>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</si>
  <si>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</si>
  <si>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</si>
  <si>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</si>
  <si>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</si>
  <si>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</si>
  <si>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</si>
  <si>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</si>
  <si>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</si>
  <si>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</si>
  <si>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</si>
  <si>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</si>
  <si>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</si>
  <si>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</si>
  <si>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</si>
  <si>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</si>
  <si>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</si>
  <si>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</si>
  <si>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</si>
  <si>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</si>
  <si>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</si>
  <si>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</si>
  <si>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</si>
  <si>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</si>
  <si>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</si>
  <si>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</si>
  <si>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</si>
  <si>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</si>
  <si>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</si>
  <si>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</si>
  <si>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</si>
  <si>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</si>
  <si>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</si>
  <si>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</si>
  <si>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</si>
  <si>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</si>
  <si>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</si>
  <si>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</si>
  <si>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</si>
  <si>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</si>
  <si>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</si>
  <si>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</si>
  <si>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</si>
  <si>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</si>
  <si>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</si>
  <si>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</si>
  <si>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</si>
  <si>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</si>
  <si>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</si>
  <si>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</si>
  <si>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</si>
  <si>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</si>
  <si>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</si>
  <si>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</si>
  <si>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</si>
  <si>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</si>
  <si>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</si>
  <si>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</si>
  <si>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</si>
  <si>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</si>
  <si>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</si>
  <si>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</si>
  <si>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</si>
  <si>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</si>
  <si>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</si>
  <si>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</si>
  <si>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</si>
  <si>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</si>
  <si>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</si>
  <si>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</si>
  <si>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</si>
  <si>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</si>
  <si>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</si>
  <si>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</si>
  <si>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</si>
  <si>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</si>
  <si>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</si>
  <si>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</si>
  <si>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</si>
  <si>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</si>
  <si>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</si>
  <si>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</si>
  <si>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</si>
  <si>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</si>
  <si>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</si>
  <si>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</si>
  <si>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</si>
  <si>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</si>
  <si>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</si>
  <si>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</si>
  <si>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</si>
  <si>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</si>
  <si>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</si>
  <si>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</si>
  <si>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</si>
  <si>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</si>
  <si>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</si>
  <si>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</si>
  <si>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</si>
  <si>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</si>
  <si>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</si>
  <si>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</si>
  <si>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</si>
  <si>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</si>
  <si>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</si>
  <si>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</si>
  <si>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</si>
  <si>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</si>
  <si>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</si>
  <si>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</si>
  <si>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</si>
  <si>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</si>
  <si>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</si>
  <si>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</si>
  <si>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</si>
  <si>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</si>
  <si>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</si>
  <si>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</si>
  <si>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</si>
  <si>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</si>
  <si>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</si>
  <si>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</si>
  <si>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</si>
  <si>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</si>
  <si>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</si>
  <si>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</si>
  <si>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</si>
  <si>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</si>
  <si>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</si>
  <si>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</si>
  <si>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</si>
  <si>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</si>
  <si>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</si>
  <si>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</si>
  <si>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</si>
  <si>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</si>
  <si>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</si>
  <si>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</si>
  <si>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</si>
  <si>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</si>
  <si>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</si>
  <si>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</si>
  <si>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</si>
  <si>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</si>
  <si>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</si>
  <si>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</si>
  <si>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</si>
  <si>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</si>
  <si>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</si>
  <si>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</si>
  <si>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</si>
  <si>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</si>
  <si>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</si>
  <si>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</si>
  <si>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</si>
  <si>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</si>
  <si>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</si>
  <si>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</si>
  <si>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</si>
  <si>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</si>
  <si>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</si>
  <si>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</si>
  <si>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</si>
  <si>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</si>
  <si>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</si>
  <si>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</si>
  <si>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</si>
  <si>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</si>
  <si>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</si>
  <si>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</si>
  <si>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</si>
  <si>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</si>
  <si>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</si>
  <si>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</si>
  <si>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</si>
  <si>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</si>
  <si>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</si>
  <si>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</si>
  <si>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</si>
  <si>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</si>
  <si>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</si>
  <si>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</si>
  <si>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</si>
  <si>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</si>
  <si>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</si>
  <si>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</si>
  <si>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</si>
  <si>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</si>
  <si>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</si>
  <si>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</si>
  <si>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</si>
  <si>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</si>
  <si>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</si>
  <si>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</si>
  <si>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</si>
  <si>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</si>
  <si>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</si>
  <si>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</si>
  <si>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</si>
  <si>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</si>
  <si>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</si>
  <si>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</si>
  <si>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</si>
  <si>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</si>
  <si>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</si>
  <si>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</si>
  <si>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</si>
  <si>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</si>
  <si>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</si>
  <si>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</si>
  <si>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</si>
  <si>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</si>
  <si>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</si>
  <si>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</si>
  <si>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</si>
  <si>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</si>
  <si>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</si>
  <si>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</si>
  <si>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</si>
  <si>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</si>
  <si>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</si>
  <si>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</si>
  <si>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</si>
  <si>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</si>
  <si>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</si>
  <si>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</si>
  <si>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</si>
  <si>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</si>
  <si>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</si>
  <si>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</si>
  <si>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</si>
  <si>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</si>
  <si>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</si>
  <si>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</si>
  <si>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</si>
  <si>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</si>
  <si>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</si>
  <si>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</si>
  <si>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</si>
  <si>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</si>
  <si>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</si>
  <si>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</si>
  <si>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</si>
  <si>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</si>
  <si>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</si>
  <si>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</si>
  <si>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</si>
  <si>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</si>
  <si>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</si>
  <si>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</si>
  <si>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</si>
  <si>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</si>
  <si>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</si>
  <si>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</si>
  <si>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</si>
  <si>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</si>
  <si>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</si>
  <si>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</si>
  <si>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</si>
  <si>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</si>
  <si>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</si>
  <si>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</si>
  <si>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</si>
  <si>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</si>
  <si>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</si>
  <si>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</si>
  <si>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</si>
  <si>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</si>
  <si>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</si>
  <si>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</si>
  <si>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</si>
  <si>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</si>
  <si>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</si>
  <si>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</si>
  <si>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</si>
  <si>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</si>
  <si>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</si>
  <si>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</si>
  <si>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</si>
  <si>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</si>
  <si>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</si>
  <si>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</si>
  <si>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</si>
  <si>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</si>
  <si>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</si>
  <si>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</si>
  <si>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</si>
  <si>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</si>
  <si>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</si>
  <si>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</si>
  <si>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</si>
  <si>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</si>
  <si>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</si>
  <si>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</si>
  <si>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</si>
  <si>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</si>
  <si>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</si>
  <si>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</si>
  <si>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</si>
  <si>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</si>
  <si>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</si>
  <si>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</si>
  <si>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</si>
  <si>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</si>
  <si>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</si>
  <si>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</si>
  <si>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</si>
  <si>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</si>
  <si>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</si>
  <si>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</si>
  <si>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</si>
  <si>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</si>
  <si>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</si>
  <si>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</si>
  <si>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</si>
  <si>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</si>
  <si>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</si>
  <si>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</si>
  <si>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</si>
  <si>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</si>
  <si>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</si>
  <si>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</si>
  <si>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</si>
  <si>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</si>
  <si>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</si>
  <si>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</si>
  <si>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</si>
  <si>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</si>
  <si>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</si>
  <si>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</si>
  <si>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</si>
  <si>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</si>
  <si>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</si>
  <si>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</si>
  <si>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</si>
  <si>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</si>
  <si>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</si>
  <si>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</si>
  <si>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</si>
  <si>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</si>
  <si>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</si>
  <si>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</si>
  <si>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</si>
  <si>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</si>
  <si>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</si>
  <si>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</si>
  <si>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</si>
  <si>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</si>
  <si>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</si>
  <si>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</si>
  <si>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</si>
  <si>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</si>
  <si>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</si>
  <si>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</si>
  <si>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</si>
  <si>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</si>
  <si>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</si>
  <si>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</si>
  <si>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</si>
  <si>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</si>
  <si>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</si>
  <si>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</si>
  <si>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</si>
  <si>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</si>
  <si>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</si>
  <si>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</si>
  <si>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</si>
  <si>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</si>
  <si>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</si>
  <si>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</si>
  <si>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</si>
  <si>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</si>
  <si>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</si>
  <si>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</si>
  <si>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</si>
  <si>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</si>
  <si>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</si>
  <si>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</si>
  <si>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</si>
  <si>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</si>
  <si>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</si>
  <si>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</si>
  <si>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</si>
  <si>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</si>
  <si>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</si>
  <si>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</si>
  <si>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</si>
  <si>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</si>
  <si>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</si>
  <si>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</si>
  <si>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</si>
  <si>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</si>
  <si>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</si>
  <si>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</si>
  <si>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</si>
  <si>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</si>
  <si>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</si>
  <si>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</si>
  <si>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</si>
  <si>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</si>
  <si>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</si>
  <si>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</si>
  <si>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</si>
  <si>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</si>
  <si>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</si>
  <si>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</si>
  <si>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</si>
  <si>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</si>
  <si>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</si>
  <si>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</si>
  <si>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</si>
  <si>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</si>
  <si>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</si>
  <si>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</si>
  <si>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</si>
  <si>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</si>
  <si>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</si>
  <si>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</si>
  <si>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</si>
  <si>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</si>
  <si>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</si>
  <si>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</si>
  <si>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</si>
  <si>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</si>
  <si>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</si>
  <si>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</si>
  <si>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</si>
  <si>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</si>
  <si>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</si>
  <si>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</si>
  <si>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</si>
  <si>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</si>
  <si>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</si>
  <si>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</si>
  <si>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</si>
  <si>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</si>
  <si>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</si>
  <si>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</si>
  <si>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</si>
  <si>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</si>
  <si>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</si>
  <si>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</si>
  <si>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</si>
  <si>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</si>
  <si>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</si>
  <si>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</si>
  <si>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</si>
  <si>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</si>
  <si>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</si>
  <si>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</si>
  <si>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</si>
  <si>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</si>
  <si>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</si>
  <si>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</si>
  <si>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</si>
  <si>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</si>
  <si>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</si>
  <si>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</si>
  <si>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</si>
  <si>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</si>
  <si>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</si>
  <si>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</si>
  <si>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</si>
  <si>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</si>
  <si>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</si>
  <si>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</si>
  <si>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</si>
  <si>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</si>
  <si>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</si>
  <si>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</si>
  <si>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</si>
  <si>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</si>
  <si>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</si>
  <si>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</si>
  <si>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</si>
  <si>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</si>
  <si>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</si>
  <si>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</si>
  <si>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</si>
  <si>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</si>
  <si>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</si>
  <si>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</si>
  <si>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</si>
  <si>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</si>
  <si>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</si>
  <si>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</si>
  <si>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</si>
  <si>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</si>
  <si>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</si>
  <si>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</si>
  <si>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</si>
  <si>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</si>
  <si>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</si>
  <si>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</si>
  <si>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</si>
  <si>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</si>
  <si>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</si>
  <si>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</si>
  <si>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</si>
  <si>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</si>
  <si>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</si>
  <si>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</si>
  <si>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</si>
  <si>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</si>
  <si>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</si>
  <si>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</si>
  <si>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</si>
  <si>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</si>
  <si>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</si>
  <si>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</si>
  <si>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</si>
  <si>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</si>
  <si>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</si>
  <si>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</si>
  <si>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</si>
  <si>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</si>
  <si>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</si>
  <si>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</si>
  <si>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</si>
  <si>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</si>
  <si>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</si>
  <si>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</si>
  <si>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</si>
  <si>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</si>
  <si>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</si>
  <si>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</si>
  <si>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</si>
  <si>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</si>
  <si>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</si>
  <si>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</si>
  <si>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</si>
  <si>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</si>
  <si>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</si>
  <si>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</si>
  <si>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</si>
  <si>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</si>
  <si>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</si>
  <si>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</si>
  <si>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</si>
  <si>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</si>
  <si>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</si>
  <si>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</si>
  <si>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</si>
  <si>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</si>
  <si>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</si>
  <si>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</si>
  <si>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</si>
  <si>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</si>
  <si>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</si>
  <si>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</si>
  <si>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</si>
  <si>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</si>
  <si>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</si>
  <si>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</si>
  <si>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</si>
  <si>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</si>
  <si>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</si>
  <si>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</si>
  <si>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</si>
  <si>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</si>
  <si>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</si>
  <si>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</si>
  <si>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</si>
  <si>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</si>
  <si>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</si>
  <si>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</si>
  <si>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</si>
  <si>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</si>
  <si>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</si>
  <si>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</si>
  <si>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</si>
  <si>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</si>
  <si>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</si>
  <si>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</si>
  <si>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</si>
  <si>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</si>
  <si>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</si>
  <si>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</si>
  <si>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</si>
  <si>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</si>
  <si>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</si>
  <si>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</si>
  <si>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</si>
  <si>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</si>
  <si>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</si>
  <si>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</si>
  <si>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</si>
  <si>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</si>
  <si>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</si>
  <si>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</si>
  <si>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</si>
  <si>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</si>
  <si>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</si>
  <si>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</si>
  <si>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</si>
  <si>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</si>
  <si>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</si>
  <si>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</si>
  <si>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</si>
  <si>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</si>
  <si>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</si>
  <si>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</si>
  <si>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</si>
  <si>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</si>
  <si>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</si>
  <si>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</si>
  <si>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</si>
  <si>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</si>
  <si>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</si>
  <si>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</si>
  <si>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</si>
  <si>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</si>
  <si>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</si>
  <si>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</si>
  <si>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</si>
  <si>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</si>
  <si>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</si>
  <si>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</si>
  <si>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</si>
  <si>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</si>
  <si>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</si>
  <si>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</si>
  <si>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</si>
  <si>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</si>
  <si>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</si>
  <si>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</si>
  <si>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</si>
  <si>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</si>
  <si>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</si>
  <si>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</si>
  <si>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</si>
  <si>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</si>
  <si>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</si>
  <si>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</si>
  <si>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</si>
  <si>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</si>
  <si>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</si>
  <si>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</si>
  <si>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</si>
  <si>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</si>
  <si>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</si>
  <si>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</si>
  <si>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</si>
  <si>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</si>
  <si>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</si>
  <si>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</si>
  <si>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</si>
  <si>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</si>
  <si>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</si>
  <si>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</si>
  <si>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</si>
  <si>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</si>
  <si>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</si>
  <si>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</si>
  <si>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</si>
  <si>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</si>
  <si>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</si>
  <si>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</si>
  <si>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</si>
  <si>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</si>
  <si>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</si>
  <si>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</si>
  <si>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</si>
  <si>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</si>
  <si>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</si>
  <si>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</si>
  <si>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</si>
  <si>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</si>
  <si>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</si>
  <si>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</si>
  <si>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</si>
  <si>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</si>
  <si>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</si>
  <si>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</si>
  <si>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</si>
  <si>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</si>
  <si>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</si>
  <si>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</si>
  <si>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</si>
  <si>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</si>
  <si>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</si>
  <si>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</si>
  <si>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</si>
  <si>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</si>
  <si>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</si>
  <si>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</si>
  <si>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</si>
  <si>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</si>
  <si>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</si>
  <si>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</si>
  <si>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</si>
  <si>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</si>
  <si>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</si>
  <si>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</si>
  <si>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</si>
  <si>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</si>
  <si>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</si>
  <si>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</si>
  <si>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</si>
  <si>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</si>
  <si>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</si>
  <si>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</si>
  <si>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</si>
  <si>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</si>
  <si>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</si>
  <si>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</si>
  <si>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</si>
  <si>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</si>
  <si>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</si>
  <si>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</si>
  <si>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</si>
  <si>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</si>
  <si>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</si>
  <si>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</si>
  <si>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</si>
  <si>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</si>
  <si>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</si>
  <si>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</si>
  <si>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</si>
  <si>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</si>
  <si>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</si>
  <si>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</si>
  <si>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</si>
  <si>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</si>
  <si>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</si>
  <si>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</si>
  <si>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</si>
  <si>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</si>
  <si>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</si>
  <si>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</si>
  <si>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</si>
  <si>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</si>
  <si>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</si>
  <si>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</si>
  <si>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</si>
  <si>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</si>
  <si>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</si>
  <si>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</si>
  <si>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</si>
  <si>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</si>
  <si>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</si>
  <si>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</si>
  <si>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</si>
  <si>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</si>
  <si>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</si>
  <si>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</si>
  <si>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</si>
  <si>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</si>
  <si>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</si>
  <si>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</si>
  <si>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</si>
  <si>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</si>
  <si>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</si>
  <si>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</si>
  <si>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</si>
  <si>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</si>
  <si>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</si>
  <si>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</si>
  <si>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</si>
  <si>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</si>
  <si>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</si>
  <si>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</si>
  <si>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</si>
  <si>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</si>
  <si>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</si>
  <si>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</si>
  <si>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</si>
  <si>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</si>
  <si>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</si>
  <si>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</si>
  <si>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</si>
  <si>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</si>
  <si>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</si>
  <si>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</si>
  <si>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</si>
  <si>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</si>
  <si>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</si>
  <si>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</si>
  <si>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</si>
  <si>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</si>
  <si>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</si>
  <si>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</si>
  <si>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</si>
  <si>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</si>
  <si>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</si>
  <si>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</si>
  <si>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</si>
  <si>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</si>
  <si>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</si>
  <si>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</si>
  <si>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</si>
  <si>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</si>
  <si>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</si>
  <si>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</si>
  <si>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</si>
  <si>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</si>
  <si>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</si>
  <si>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</si>
  <si>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</si>
  <si>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</si>
  <si>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</si>
  <si>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</si>
  <si>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</si>
  <si>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</si>
  <si>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</si>
  <si>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</si>
  <si>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</si>
  <si>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</si>
  <si>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</si>
  <si>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</si>
  <si>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</si>
  <si>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</si>
  <si>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</si>
  <si>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</si>
  <si>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</si>
  <si>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</si>
  <si>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</si>
  <si>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</si>
  <si>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</si>
  <si>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</si>
  <si>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</si>
  <si>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</si>
  <si>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</si>
  <si>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</si>
  <si>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</si>
  <si>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</si>
  <si>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</si>
  <si>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</si>
  <si>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</si>
  <si>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</si>
  <si>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</si>
  <si>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</si>
  <si>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</si>
  <si>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</si>
  <si>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</si>
  <si>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</si>
  <si>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</si>
  <si>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</si>
  <si>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</si>
  <si>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</si>
  <si>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</si>
  <si>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</si>
  <si>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</si>
  <si>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</si>
  <si>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</si>
  <si>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</si>
  <si>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</si>
  <si>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</si>
  <si>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</si>
  <si>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</si>
  <si>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</si>
  <si>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</si>
  <si>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</si>
  <si>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</si>
  <si>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</si>
  <si>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</si>
  <si>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</si>
  <si>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</si>
  <si>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</si>
  <si>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</si>
  <si>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</si>
  <si>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</si>
  <si>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</si>
  <si>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</si>
  <si>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</si>
  <si>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</si>
  <si>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</si>
  <si>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</si>
  <si>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</si>
  <si>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</si>
  <si>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</si>
  <si>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</si>
  <si>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</si>
  <si>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</si>
  <si>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</si>
  <si>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</si>
  <si>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</si>
  <si>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</si>
  <si>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</si>
  <si>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</si>
  <si>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</si>
  <si>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</si>
  <si>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</si>
  <si>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</si>
  <si>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</si>
  <si>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</si>
  <si>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</si>
  <si>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</si>
  <si>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</si>
  <si>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</si>
  <si>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</si>
  <si>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</si>
  <si>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</si>
  <si>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</si>
  <si>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</si>
  <si>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</si>
  <si>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</si>
  <si>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</si>
  <si>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</si>
  <si>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</si>
  <si>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</si>
  <si>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</si>
  <si>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</si>
  <si>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</si>
  <si>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</si>
  <si>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</si>
  <si>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</si>
  <si>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</si>
  <si>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</si>
  <si>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</si>
  <si>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</si>
  <si>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</si>
  <si>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</si>
  <si>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</si>
  <si>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</si>
  <si>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</si>
  <si>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</si>
  <si>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</si>
  <si>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</si>
  <si>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</si>
  <si>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</si>
  <si>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</si>
  <si>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</si>
  <si>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</si>
  <si>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</si>
  <si>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</si>
  <si>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</si>
  <si>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</si>
  <si>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</si>
  <si>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</si>
  <si>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</si>
  <si>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</si>
  <si>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</si>
  <si>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</si>
  <si>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</si>
  <si>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</si>
  <si>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</si>
  <si>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</si>
  <si>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</si>
  <si>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</si>
  <si>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</si>
  <si>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</si>
  <si>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</si>
  <si>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</si>
  <si>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</si>
  <si>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</si>
  <si>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</si>
  <si>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</si>
  <si>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</si>
  <si>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</si>
  <si>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</si>
  <si>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</si>
  <si>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</si>
  <si>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</si>
  <si>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</si>
  <si>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</si>
  <si>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</si>
  <si>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</si>
  <si>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</si>
  <si>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</si>
  <si>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</si>
  <si>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</si>
  <si>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</si>
  <si>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</si>
  <si>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</si>
  <si>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</si>
  <si>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</si>
  <si>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</si>
  <si>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</si>
  <si>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</si>
  <si>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</si>
  <si>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</si>
  <si>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</si>
  <si>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</si>
  <si>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</si>
  <si>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</si>
  <si>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</si>
  <si>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</si>
  <si>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</si>
  <si>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</si>
  <si>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</si>
  <si>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</si>
  <si>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</si>
  <si>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</si>
  <si>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</si>
  <si>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</si>
  <si>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</si>
  <si>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</si>
  <si>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</si>
  <si>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</si>
  <si>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</si>
  <si>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</si>
  <si>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</si>
  <si>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</si>
  <si>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</si>
  <si>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</si>
  <si>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</si>
  <si>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</si>
  <si>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</si>
  <si>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</si>
  <si>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</si>
  <si>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</si>
  <si>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</si>
  <si>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</si>
  <si>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</si>
  <si>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</si>
  <si>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</si>
  <si>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</si>
  <si>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</si>
  <si>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</si>
  <si>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</si>
  <si>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</si>
  <si>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</si>
  <si>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</si>
  <si>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</si>
  <si>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</si>
  <si>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</si>
  <si>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</si>
  <si>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</si>
  <si>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</si>
  <si>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</si>
  <si>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</si>
  <si>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</si>
  <si>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</si>
  <si>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</si>
  <si>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</si>
  <si>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</si>
  <si>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</si>
  <si>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</si>
  <si>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</si>
  <si>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</si>
  <si>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</si>
  <si>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</si>
  <si>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</si>
  <si>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</si>
  <si>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</si>
  <si>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</si>
  <si>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</si>
  <si>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</si>
  <si>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</si>
  <si>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</si>
  <si>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</si>
  <si>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</si>
  <si>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</si>
  <si>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</si>
  <si>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</si>
  <si>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</si>
  <si>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</si>
  <si>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</si>
  <si>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</si>
  <si>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</si>
  <si>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</si>
  <si>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</si>
  <si>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</si>
  <si>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</si>
  <si>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</si>
  <si>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</si>
  <si>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</si>
  <si>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</si>
  <si>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</si>
  <si>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</si>
  <si>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</si>
  <si>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</si>
  <si>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</si>
  <si>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</si>
  <si>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</si>
  <si>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</si>
  <si>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</si>
  <si>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</si>
  <si>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</si>
  <si>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</si>
  <si>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</si>
  <si>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</si>
  <si>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</si>
  <si>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</si>
  <si>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</si>
  <si>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</si>
  <si>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</si>
  <si>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</si>
  <si>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</si>
  <si>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</si>
  <si>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</si>
  <si>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</si>
  <si>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</si>
  <si>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</si>
  <si>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</si>
  <si>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</si>
  <si>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</si>
  <si>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</si>
  <si>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</si>
  <si>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</si>
  <si>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</si>
  <si>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</si>
  <si>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</si>
  <si>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</si>
  <si>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</si>
  <si>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</si>
  <si>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</si>
  <si>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</si>
  <si>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</si>
  <si>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</si>
  <si>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</si>
  <si>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</si>
  <si>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</si>
  <si>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</si>
  <si>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</si>
  <si>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</si>
  <si>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</si>
  <si>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</si>
  <si>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</si>
  <si>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</si>
  <si>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</si>
  <si>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</si>
  <si>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</si>
  <si>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</si>
  <si>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</si>
  <si>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</si>
  <si>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</si>
  <si>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</si>
  <si>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</si>
  <si>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</si>
  <si>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</si>
  <si>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</si>
  <si>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</si>
  <si>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</si>
  <si>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</si>
  <si>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</si>
  <si>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</si>
  <si>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</si>
  <si>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</si>
  <si>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</si>
  <si>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</si>
  <si>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</si>
  <si>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</si>
  <si>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</si>
  <si>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</si>
  <si>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</si>
  <si>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</si>
  <si>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</si>
  <si>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</si>
  <si>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</si>
  <si>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</si>
  <si>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</si>
  <si>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</si>
  <si>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</si>
  <si>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</si>
  <si>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</si>
  <si>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</si>
  <si>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</si>
  <si>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</si>
  <si>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</si>
  <si>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</si>
  <si>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</si>
  <si>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</si>
  <si>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</si>
  <si>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</si>
  <si>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</si>
  <si>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</si>
  <si>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</si>
  <si>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</si>
  <si>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</si>
  <si>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</si>
  <si>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</si>
  <si>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</si>
  <si>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</si>
  <si>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</si>
  <si>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</si>
  <si>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</si>
  <si>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</si>
  <si>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</si>
  <si>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</si>
  <si>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</si>
  <si>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</si>
  <si>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</si>
  <si>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</si>
  <si>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</si>
  <si>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</si>
  <si>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</si>
  <si>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</si>
  <si>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</si>
  <si>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</si>
  <si>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</si>
  <si>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</si>
  <si>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</si>
  <si>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</si>
  <si>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</si>
  <si>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</si>
  <si>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</si>
  <si>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</si>
  <si>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</si>
  <si>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</si>
  <si>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</si>
  <si>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</si>
  <si>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</si>
  <si>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</si>
  <si>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</si>
  <si>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</si>
  <si>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</si>
  <si>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</si>
  <si>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</si>
  <si>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</si>
  <si>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</si>
  <si>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</si>
  <si>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</si>
  <si>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</si>
  <si>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</si>
  <si>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</si>
  <si>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</si>
  <si>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</si>
  <si>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</si>
  <si>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</si>
  <si>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</si>
  <si>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</si>
  <si>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</si>
  <si>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</si>
  <si>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</si>
  <si>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</si>
  <si>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</si>
  <si>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</si>
  <si>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</si>
  <si>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</si>
  <si>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</si>
  <si>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</si>
  <si>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</si>
  <si>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</si>
  <si>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</si>
  <si>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</si>
  <si>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</si>
  <si>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</si>
  <si>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</si>
  <si>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</si>
  <si>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</si>
  <si>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</si>
  <si>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</si>
  <si>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</si>
  <si>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</si>
  <si>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</si>
  <si>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</si>
  <si>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</si>
  <si>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</si>
  <si>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</si>
  <si>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</si>
  <si>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</si>
  <si>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</si>
  <si>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</si>
  <si>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</si>
  <si>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</si>
  <si>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</si>
  <si>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</si>
  <si>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</si>
  <si>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</si>
  <si>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</si>
  <si>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</si>
  <si>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</si>
  <si>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</si>
  <si>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</si>
  <si>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</si>
  <si>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</si>
  <si>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</si>
  <si>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</si>
  <si>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</si>
  <si>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</si>
  <si>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</si>
  <si>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</si>
  <si>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</si>
  <si>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</si>
  <si>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</si>
  <si>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</si>
  <si>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</si>
  <si>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</si>
  <si>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</si>
  <si>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</si>
  <si>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</si>
  <si>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</si>
  <si>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</si>
  <si>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</si>
  <si>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</si>
  <si>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</si>
  <si>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</si>
  <si>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</si>
  <si>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</si>
  <si>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</si>
  <si>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</si>
  <si>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</si>
  <si>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</si>
  <si>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</si>
  <si>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</si>
  <si>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</si>
  <si>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</si>
  <si>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</si>
  <si>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</si>
  <si>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</si>
  <si>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</si>
  <si>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</si>
  <si>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</si>
  <si>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</si>
  <si>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</si>
  <si>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</si>
  <si>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</si>
  <si>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</si>
  <si>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</si>
  <si>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</si>
  <si>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</si>
  <si>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</si>
  <si>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</si>
  <si>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</si>
  <si>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</si>
  <si>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</si>
  <si>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</si>
  <si>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</si>
  <si>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</si>
  <si>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</si>
  <si>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</si>
  <si>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</si>
  <si>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</si>
  <si>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</si>
  <si>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</si>
  <si>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</si>
  <si>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</si>
  <si>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</si>
  <si>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</si>
  <si>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</si>
  <si>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</si>
  <si>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</si>
  <si>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</si>
  <si>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</si>
  <si>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</si>
  <si>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</si>
  <si>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</si>
  <si>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</si>
  <si>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</si>
  <si>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</si>
  <si>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</si>
  <si>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</si>
  <si>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</si>
  <si>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</si>
  <si>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</si>
  <si>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</si>
  <si>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</si>
  <si>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</si>
  <si>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</si>
  <si>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</si>
  <si>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</si>
  <si>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</si>
  <si>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</si>
  <si>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</si>
  <si>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</si>
  <si>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</si>
  <si>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</si>
  <si>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</si>
  <si>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</si>
  <si>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</si>
  <si>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</si>
  <si>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</si>
  <si>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</si>
  <si>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</si>
  <si>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</si>
  <si>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</si>
  <si>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</si>
  <si>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</si>
  <si>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</si>
  <si>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</si>
  <si>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</si>
  <si>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</si>
  <si>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</si>
  <si>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</si>
  <si>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</si>
  <si>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</si>
  <si>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</si>
  <si>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</si>
  <si>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</si>
  <si>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</si>
  <si>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</si>
  <si>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</si>
  <si>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</si>
  <si>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</si>
  <si>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</si>
  <si>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</si>
  <si>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</si>
  <si>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</si>
  <si>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</si>
  <si>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</si>
  <si>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</si>
  <si>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</si>
  <si>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</si>
  <si>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</si>
  <si>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</si>
  <si>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</si>
  <si>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</si>
  <si>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</si>
  <si>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</si>
  <si>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</si>
  <si>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</si>
  <si>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</si>
  <si>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</si>
  <si>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</si>
  <si>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</si>
  <si>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</si>
  <si>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</si>
  <si>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</si>
  <si>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</si>
  <si>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</si>
  <si>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</si>
  <si>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</si>
  <si>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</si>
  <si>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</si>
  <si>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</si>
  <si>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</si>
  <si>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</si>
  <si>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</si>
  <si>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</si>
  <si>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</si>
  <si>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</si>
  <si>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</si>
  <si>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</si>
  <si>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</si>
  <si>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</si>
  <si>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</si>
  <si>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</si>
  <si>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</si>
  <si>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</si>
  <si>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</si>
  <si>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</si>
  <si>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</si>
  <si>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</si>
  <si>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</si>
  <si>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</si>
  <si>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</si>
  <si>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</si>
  <si>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</si>
  <si>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</si>
  <si>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</si>
  <si>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</si>
  <si>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</si>
  <si>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</si>
  <si>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</si>
  <si>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</si>
  <si>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</si>
  <si>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</si>
  <si>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</si>
  <si>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</si>
  <si>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</si>
  <si>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</si>
  <si>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</si>
  <si>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</si>
  <si>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</si>
  <si>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</si>
  <si>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</si>
  <si>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</si>
  <si>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</si>
  <si>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</si>
  <si>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</si>
  <si>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</si>
  <si>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</si>
  <si>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</si>
  <si>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</si>
  <si>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</si>
  <si>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</si>
  <si>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</si>
  <si>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</si>
  <si>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</si>
  <si>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</si>
  <si>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</si>
  <si>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</si>
  <si>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</si>
  <si>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</si>
  <si>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</si>
  <si>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</si>
  <si>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</si>
  <si>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</si>
  <si>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</si>
  <si>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</si>
  <si>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</si>
  <si>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</si>
  <si>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</si>
  <si>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</si>
  <si>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</si>
  <si>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</si>
  <si>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</si>
  <si>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</si>
  <si>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</si>
  <si>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</si>
  <si>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</si>
  <si>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</si>
  <si>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</si>
  <si>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</si>
  <si>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</si>
  <si>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</si>
  <si>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</si>
  <si>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</si>
  <si>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</si>
  <si>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</si>
  <si>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</si>
  <si>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</si>
  <si>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</si>
  <si>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</si>
  <si>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</si>
  <si>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</si>
  <si>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</si>
  <si>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</si>
  <si>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</si>
  <si>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</si>
  <si>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</si>
  <si>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</si>
  <si>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</si>
  <si>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</si>
  <si>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</si>
  <si>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</si>
  <si>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</si>
  <si>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</si>
  <si>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</si>
  <si>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</si>
  <si>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</si>
  <si>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</si>
  <si>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</si>
  <si>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</si>
  <si>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</si>
  <si>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</si>
  <si>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</si>
  <si>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</si>
  <si>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</si>
  <si>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</si>
  <si>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</si>
  <si>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</si>
  <si>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</si>
  <si>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</si>
  <si>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</si>
  <si>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</si>
  <si>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</si>
  <si>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</si>
  <si>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</si>
  <si>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</si>
  <si>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</si>
  <si>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</si>
  <si>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</si>
  <si>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</si>
  <si>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</si>
  <si>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</si>
  <si>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</si>
  <si>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</si>
  <si>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</si>
  <si>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</si>
  <si>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</si>
  <si>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</si>
  <si>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</si>
  <si>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</si>
  <si>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</si>
  <si>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</si>
  <si>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</si>
  <si>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</si>
  <si>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</si>
  <si>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</si>
  <si>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</si>
  <si>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</si>
  <si>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</si>
  <si>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</si>
  <si>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</si>
  <si>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</si>
  <si>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</si>
  <si>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</si>
  <si>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</si>
  <si>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</si>
  <si>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</si>
  <si>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</si>
  <si>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</si>
  <si>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</si>
  <si>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</si>
  <si>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</si>
  <si>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</si>
  <si>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</si>
  <si>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</si>
  <si>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</si>
  <si>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</si>
  <si>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</si>
  <si>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</si>
  <si>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</si>
  <si>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</si>
  <si>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</si>
  <si>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</si>
  <si>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</si>
  <si>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</si>
  <si>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</si>
  <si>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</si>
  <si>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</si>
  <si>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</si>
  <si>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</si>
  <si>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</si>
  <si>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</si>
  <si>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</si>
  <si>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</si>
  <si>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</si>
  <si>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</si>
  <si>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</si>
  <si>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</si>
  <si>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</si>
  <si>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</si>
  <si>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</si>
  <si>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</si>
  <si>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</si>
  <si>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</si>
  <si>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</si>
  <si>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</si>
  <si>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</si>
  <si>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</si>
  <si>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</si>
  <si>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</si>
  <si>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</si>
  <si>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</si>
  <si>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</si>
  <si>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</si>
  <si>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</si>
  <si>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</si>
  <si>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</si>
  <si>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</si>
  <si>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</si>
  <si>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</si>
  <si>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</si>
  <si>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</si>
  <si>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</si>
  <si>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</si>
  <si>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</si>
  <si>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</si>
  <si>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</si>
  <si>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</si>
  <si>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</si>
  <si>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</si>
  <si>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</si>
  <si>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</si>
  <si>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</si>
  <si>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</si>
  <si>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</si>
  <si>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</si>
  <si>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</si>
  <si>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</si>
  <si>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</si>
  <si>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</si>
  <si>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</si>
  <si>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</si>
  <si>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</si>
  <si>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</si>
  <si>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</si>
  <si>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</si>
  <si>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</si>
  <si>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</si>
  <si>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</si>
  <si>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</si>
  <si>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</si>
  <si>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</si>
  <si>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</si>
  <si>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</si>
  <si>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</si>
  <si>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</si>
  <si>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</si>
  <si>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</si>
  <si>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</si>
  <si>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</si>
  <si>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</si>
  <si>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</si>
  <si>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</si>
  <si>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</si>
  <si>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</si>
  <si>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</si>
  <si>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</si>
  <si>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</si>
  <si>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</si>
  <si>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</si>
  <si>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</si>
  <si>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</si>
  <si>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</si>
  <si>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</si>
  <si>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</si>
  <si>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</si>
  <si>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</si>
  <si>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</si>
  <si>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</si>
  <si>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</si>
  <si>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</si>
  <si>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</si>
  <si>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</si>
  <si>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</si>
  <si>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</si>
  <si>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</si>
  <si>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</si>
  <si>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</si>
  <si>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</si>
  <si>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</si>
  <si>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</si>
  <si>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</si>
  <si>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</si>
  <si>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</si>
  <si>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</si>
  <si>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</si>
  <si>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</si>
  <si>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</si>
  <si>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</si>
  <si>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</si>
  <si>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</si>
  <si>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</si>
  <si>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</si>
  <si>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</si>
  <si>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</si>
  <si>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</si>
  <si>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</si>
  <si>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</si>
  <si>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</si>
  <si>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</si>
  <si>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</si>
  <si>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</si>
  <si>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</si>
  <si>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</si>
  <si>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</si>
  <si>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</si>
  <si>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</si>
  <si>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</si>
  <si>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</si>
  <si>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</si>
  <si>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</si>
  <si>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</si>
  <si>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</si>
  <si>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</si>
  <si>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</si>
  <si>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</si>
  <si>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</si>
  <si>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</si>
  <si>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</si>
  <si>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</si>
  <si>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</si>
  <si>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</si>
  <si>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</si>
  <si>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</si>
  <si>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</si>
  <si>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</si>
  <si>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</si>
  <si>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</si>
  <si>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</si>
  <si>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</si>
  <si>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</si>
  <si>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</si>
  <si>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</si>
  <si>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</si>
  <si>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</si>
  <si>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</si>
  <si>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</si>
  <si>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</si>
  <si>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</si>
  <si>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</si>
  <si>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</si>
  <si>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</si>
  <si>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</si>
  <si>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</si>
  <si>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</si>
  <si>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</si>
  <si>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</si>
  <si>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</si>
  <si>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</si>
  <si>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</si>
  <si>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</si>
  <si>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</si>
  <si>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</si>
  <si>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</si>
  <si>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</si>
  <si>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</si>
  <si>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</si>
  <si>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</si>
  <si>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</si>
  <si>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</si>
  <si>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</si>
  <si>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</si>
  <si>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</si>
  <si>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</si>
  <si>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</si>
  <si>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</si>
  <si>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</si>
  <si>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</si>
  <si>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</si>
  <si>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</si>
  <si>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</si>
  <si>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</si>
  <si>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</si>
  <si>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</si>
  <si>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</si>
  <si>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</si>
  <si>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</si>
  <si>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</si>
  <si>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</si>
  <si>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</si>
  <si>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</si>
  <si>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</si>
  <si>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</si>
  <si>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</si>
  <si>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</si>
  <si>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</si>
  <si>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</si>
  <si>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</si>
  <si>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</si>
  <si>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</si>
  <si>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</si>
  <si>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</si>
  <si>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</si>
  <si>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</si>
  <si>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</si>
  <si>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</si>
  <si>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</si>
  <si>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</si>
  <si>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</si>
  <si>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</si>
  <si>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</si>
  <si>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</si>
  <si>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</si>
  <si>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</si>
  <si>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</si>
  <si>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</si>
  <si>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</si>
  <si>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</si>
  <si>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</si>
  <si>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</si>
  <si>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</si>
  <si>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</si>
  <si>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</si>
  <si>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</si>
  <si>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</si>
  <si>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</si>
  <si>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</si>
  <si>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</si>
  <si>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</si>
  <si>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</si>
  <si>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</si>
  <si>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</si>
  <si>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</si>
  <si>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</si>
  <si>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</si>
  <si>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</si>
  <si>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</si>
  <si>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</si>
  <si>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</si>
  <si>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</si>
  <si>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</si>
  <si>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</si>
  <si>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</si>
  <si>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</si>
  <si>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</si>
  <si>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</si>
  <si>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</si>
  <si>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</si>
  <si>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</si>
  <si>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</si>
  <si>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</si>
  <si>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</si>
  <si>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</si>
  <si>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</si>
  <si>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</si>
  <si>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</si>
  <si>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</si>
  <si>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</si>
  <si>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</si>
  <si>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</si>
  <si>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</si>
  <si>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</si>
  <si>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</si>
  <si>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</si>
  <si>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</si>
  <si>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</si>
  <si>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</si>
  <si>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</si>
  <si>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</si>
  <si>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</si>
  <si>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</si>
  <si>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</si>
  <si>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</si>
  <si>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</si>
  <si>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</si>
  <si>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</si>
  <si>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</si>
  <si>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</si>
  <si>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</si>
  <si>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</si>
  <si>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</si>
  <si>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</si>
  <si>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</si>
  <si>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</si>
  <si>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</si>
  <si>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</si>
  <si>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</si>
  <si>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</si>
  <si>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</si>
  <si>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</si>
  <si>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</si>
  <si>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</si>
  <si>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</si>
  <si>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</si>
  <si>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</si>
  <si>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</si>
  <si>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</si>
  <si>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</si>
  <si>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</si>
  <si>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</si>
  <si>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</si>
  <si>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</si>
  <si>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</si>
  <si>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</si>
  <si>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</si>
  <si>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</si>
  <si>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</si>
  <si>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</si>
  <si>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</si>
  <si>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</si>
  <si>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</si>
  <si>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</si>
  <si>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</si>
  <si>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</si>
  <si>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</si>
  <si>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</si>
  <si>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</si>
  <si>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</si>
  <si>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</si>
  <si>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</si>
  <si>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</si>
  <si>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</si>
  <si>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</si>
  <si>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</si>
  <si>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</si>
  <si>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</si>
  <si>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</si>
  <si>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</si>
  <si>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</si>
  <si>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</si>
  <si>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</si>
  <si>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</si>
  <si>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</si>
  <si>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</si>
  <si>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</si>
  <si>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</si>
  <si>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</si>
  <si>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</si>
  <si>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</si>
  <si>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</si>
  <si>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</si>
  <si>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</si>
  <si>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</si>
  <si>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</si>
  <si>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</si>
  <si>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</si>
  <si>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</si>
  <si>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</si>
  <si>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</si>
  <si>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</si>
  <si>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</si>
  <si>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</si>
  <si>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</si>
  <si>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</si>
  <si>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</si>
  <si>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</si>
  <si>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</si>
  <si>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</si>
  <si>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</si>
  <si>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</si>
  <si>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</si>
  <si>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</si>
  <si>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</si>
  <si>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</si>
  <si>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</si>
  <si>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</si>
  <si>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</si>
  <si>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</si>
  <si>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</si>
  <si>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</si>
  <si>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</si>
  <si>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</si>
  <si>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</si>
  <si>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</si>
  <si>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</si>
  <si>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</si>
  <si>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</si>
  <si>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</si>
  <si>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</si>
  <si>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</si>
  <si>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</si>
  <si>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</si>
  <si>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</si>
  <si>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</si>
  <si>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</si>
  <si>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</si>
  <si>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</si>
  <si>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</si>
  <si>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</si>
  <si>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</si>
  <si>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</si>
  <si>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</si>
  <si>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</si>
  <si>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</si>
  <si>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</si>
  <si>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</si>
  <si>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</si>
  <si>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</si>
  <si>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</si>
  <si>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</si>
  <si>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</si>
  <si>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</si>
  <si>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</si>
  <si>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</si>
  <si>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</si>
  <si>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</si>
  <si>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</si>
  <si>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</si>
  <si>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</si>
  <si>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</si>
  <si>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</si>
  <si>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</si>
  <si>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</si>
  <si>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</si>
  <si>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</si>
  <si>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</si>
  <si>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</si>
  <si>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</si>
  <si>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</si>
  <si>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</si>
  <si>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</si>
  <si>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</si>
  <si>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</si>
  <si>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</si>
  <si>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</si>
  <si>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</si>
  <si>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</si>
  <si>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</si>
  <si>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</si>
  <si>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</si>
  <si>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</si>
  <si>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</si>
  <si>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</si>
  <si>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</si>
  <si>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</si>
  <si>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</si>
  <si>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</si>
  <si>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</si>
  <si>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</si>
  <si>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</si>
  <si>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</si>
  <si>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</si>
  <si>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</si>
  <si>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</si>
  <si>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</si>
  <si>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</si>
  <si>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</si>
  <si>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</si>
  <si>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</si>
  <si>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</si>
  <si>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</si>
  <si>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</si>
  <si>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</si>
  <si>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</si>
  <si>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</si>
  <si>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</si>
  <si>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</si>
  <si>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</si>
  <si>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</si>
  <si>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</si>
  <si>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</si>
  <si>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</si>
  <si>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</si>
  <si>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</si>
  <si>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</si>
  <si>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</si>
  <si>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</si>
  <si>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</si>
  <si>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</si>
  <si>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</si>
  <si>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</si>
  <si>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</si>
  <si>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</si>
  <si>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</si>
  <si>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</si>
  <si>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</si>
  <si>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</si>
  <si>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</si>
  <si>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</si>
  <si>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</si>
  <si>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</si>
  <si>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</si>
  <si>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</si>
  <si>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</si>
  <si>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</si>
  <si>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</si>
  <si>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</si>
  <si>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</si>
  <si>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</si>
  <si>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</si>
  <si>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</si>
  <si>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</si>
  <si>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</si>
  <si>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</si>
  <si>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</si>
  <si>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</si>
  <si>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</si>
  <si>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</si>
  <si>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</si>
  <si>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</si>
  <si>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</si>
  <si>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</si>
  <si>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</si>
  <si>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</si>
  <si>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</si>
  <si>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</si>
  <si>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</si>
  <si>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</si>
  <si>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</si>
  <si>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</si>
  <si>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</si>
  <si>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</si>
  <si>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</si>
  <si>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</si>
  <si>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</si>
  <si>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</si>
  <si>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</si>
  <si>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</si>
  <si>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</si>
  <si>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</si>
  <si>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</si>
  <si>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</si>
  <si>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</si>
  <si>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</si>
  <si>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</si>
  <si>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</si>
  <si>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</si>
  <si>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</si>
  <si>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</si>
  <si>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</si>
  <si>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</si>
  <si>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</si>
  <si>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</si>
  <si>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</si>
  <si>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</si>
  <si>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</si>
  <si>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</si>
  <si>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</si>
  <si>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</si>
  <si>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</si>
  <si>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</si>
  <si>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</si>
  <si>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</si>
  <si>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</si>
  <si>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</si>
  <si>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</si>
  <si>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</si>
  <si>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</si>
  <si>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</si>
  <si>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</si>
  <si>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</si>
  <si>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</si>
  <si>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</si>
  <si>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</si>
  <si>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</si>
  <si>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</si>
  <si>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</si>
  <si>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</si>
  <si>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</si>
  <si>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</si>
  <si>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</si>
  <si>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</si>
  <si>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</si>
  <si>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</si>
  <si>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</si>
  <si>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</si>
  <si>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</si>
  <si>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</si>
  <si>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</si>
  <si>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</si>
  <si>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</si>
  <si>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</si>
  <si>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</si>
  <si>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</si>
  <si>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</si>
  <si>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</si>
  <si>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</si>
  <si>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</si>
  <si>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</si>
  <si>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</si>
  <si>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</si>
  <si>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</si>
  <si>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</si>
  <si>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</si>
  <si>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</si>
  <si>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</si>
  <si>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</si>
  <si>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</si>
  <si>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</si>
  <si>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</si>
  <si>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</si>
  <si>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</si>
  <si>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</si>
  <si>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</si>
  <si>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</si>
  <si>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</si>
  <si>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</si>
  <si>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</si>
  <si>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</si>
  <si>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</si>
  <si>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</si>
  <si>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</si>
  <si>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</si>
  <si>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</si>
  <si>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</si>
  <si>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</si>
  <si>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</si>
  <si>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</si>
  <si>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</si>
  <si>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</si>
  <si>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</si>
  <si>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</si>
  <si>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</si>
  <si>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</si>
  <si>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</si>
  <si>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</si>
  <si>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</si>
  <si>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</si>
  <si>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</si>
  <si>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</si>
  <si>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</si>
  <si>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</si>
  <si>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</si>
  <si>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</si>
  <si>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</si>
  <si>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</si>
  <si>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</si>
  <si>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</si>
  <si>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</si>
  <si>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</si>
  <si>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</si>
  <si>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</si>
  <si>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</si>
  <si>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</si>
  <si>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</si>
  <si>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</si>
  <si>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</si>
  <si>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</si>
  <si>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</si>
  <si>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</si>
  <si>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</si>
  <si>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</si>
  <si>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</si>
  <si>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</si>
  <si>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</si>
  <si>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</si>
  <si>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</si>
  <si>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</si>
  <si>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</si>
  <si>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</si>
  <si>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</si>
  <si>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</si>
  <si>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</si>
  <si>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</si>
  <si>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</si>
  <si>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</si>
  <si>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</si>
  <si>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</si>
  <si>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</si>
  <si>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</si>
  <si>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</si>
  <si>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</si>
  <si>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</si>
  <si>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</si>
  <si>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</si>
  <si>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</si>
  <si>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</si>
  <si>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</si>
  <si>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</si>
  <si>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</si>
  <si>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</si>
  <si>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</si>
  <si>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</si>
  <si>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</si>
  <si>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</si>
  <si>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</si>
  <si>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</si>
  <si>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</si>
  <si>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</si>
  <si>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</si>
  <si>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</si>
  <si>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</si>
  <si>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</si>
  <si>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</si>
  <si>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</si>
  <si>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</si>
  <si>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</si>
  <si>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</si>
  <si>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</si>
  <si>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</si>
  <si>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</si>
  <si>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</si>
  <si>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</si>
  <si>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</si>
  <si>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</si>
  <si>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</si>
  <si>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</si>
  <si>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</si>
  <si>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</si>
  <si>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</si>
  <si>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</si>
  <si>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</si>
  <si>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</si>
  <si>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</si>
  <si>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</si>
  <si>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</si>
  <si>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</si>
  <si>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</si>
  <si>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</si>
  <si>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</si>
  <si>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</si>
  <si>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</si>
  <si>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</si>
  <si>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</si>
  <si>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</si>
  <si>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</si>
  <si>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</si>
  <si>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</si>
  <si>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</si>
  <si>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</si>
  <si>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</si>
  <si>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</si>
  <si>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</si>
  <si>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</si>
  <si>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</si>
  <si>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</si>
  <si>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</si>
  <si>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</si>
  <si>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</si>
  <si>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</si>
  <si>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</si>
  <si>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</si>
  <si>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</si>
  <si>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</si>
  <si>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</si>
  <si>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</si>
  <si>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</si>
  <si>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</si>
  <si>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</si>
  <si>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</si>
  <si>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</si>
  <si>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</si>
  <si>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</si>
  <si>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</si>
  <si>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</si>
  <si>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</si>
  <si>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</si>
  <si>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</si>
  <si>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</si>
  <si>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</si>
  <si>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</si>
  <si>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</si>
  <si>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</si>
  <si>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</si>
  <si>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</si>
  <si>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</si>
  <si>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</si>
  <si>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</si>
  <si>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</si>
  <si>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</si>
  <si>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</si>
  <si>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</si>
  <si>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</si>
  <si>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</si>
  <si>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</si>
  <si>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</si>
  <si>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</si>
  <si>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</si>
  <si>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</si>
  <si>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</si>
  <si>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</si>
  <si>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</si>
  <si>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</si>
  <si>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</si>
  <si>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</si>
  <si>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</si>
  <si>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</si>
  <si>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</si>
  <si>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</si>
  <si>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</si>
  <si>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</si>
  <si>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</si>
  <si>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</si>
  <si>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</si>
  <si>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</si>
  <si>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</si>
  <si>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</si>
  <si>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</si>
  <si>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</si>
  <si>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</si>
  <si>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</si>
  <si>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</si>
  <si>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</si>
  <si>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</si>
  <si>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</si>
  <si>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</si>
  <si>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</si>
  <si>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</si>
  <si>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</si>
  <si>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</si>
  <si>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</si>
  <si>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</si>
  <si>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</si>
  <si>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</si>
  <si>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</si>
  <si>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</si>
  <si>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</si>
  <si>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</si>
  <si>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</si>
  <si>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</si>
  <si>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</si>
  <si>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</si>
  <si>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</si>
  <si>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</si>
  <si>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</si>
  <si>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</si>
  <si>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</si>
  <si>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</si>
  <si>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</si>
  <si>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</si>
  <si>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</si>
  <si>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</si>
  <si>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</si>
  <si>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</si>
  <si>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</si>
  <si>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</si>
  <si>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</si>
  <si>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</si>
  <si>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</si>
  <si>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</si>
  <si>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</si>
  <si>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</si>
  <si>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</si>
  <si>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</si>
  <si>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</si>
  <si>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</si>
  <si>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</si>
  <si>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</si>
  <si>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</si>
  <si>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</si>
  <si>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</si>
  <si>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</si>
  <si>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</si>
  <si>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</si>
  <si>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</si>
  <si>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</si>
  <si>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</si>
  <si>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</si>
  <si>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</si>
  <si>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</si>
  <si>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</si>
  <si>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</si>
  <si>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</si>
  <si>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</si>
  <si>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</si>
  <si>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</si>
  <si>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</si>
  <si>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</si>
  <si>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</si>
  <si>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</si>
  <si>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</si>
  <si>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</si>
  <si>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</si>
  <si>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</si>
  <si>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</si>
  <si>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</si>
  <si>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</si>
  <si>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</si>
  <si>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</si>
  <si>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</si>
  <si>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</si>
  <si>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</si>
  <si>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</si>
  <si>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</si>
  <si>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</si>
  <si>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</si>
  <si>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</si>
  <si>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</si>
  <si>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</si>
  <si>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</si>
  <si>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</si>
  <si>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</si>
  <si>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</si>
  <si>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</si>
  <si>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</si>
  <si>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</si>
  <si>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</si>
  <si>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</si>
  <si>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</si>
  <si>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</si>
  <si>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</si>
  <si>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</si>
  <si>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</si>
  <si>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</si>
  <si>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</si>
  <si>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</si>
  <si>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</si>
  <si>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</si>
  <si>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</si>
  <si>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</si>
  <si>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</si>
  <si>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</si>
  <si>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</si>
  <si>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</si>
  <si>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</si>
  <si>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</si>
  <si>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</si>
  <si>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</si>
  <si>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</si>
  <si>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</si>
  <si>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</si>
  <si>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</si>
  <si>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</si>
  <si>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</si>
  <si>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</si>
  <si>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</si>
  <si>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</si>
  <si>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</si>
  <si>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</si>
  <si>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</si>
  <si>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</si>
  <si>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</si>
  <si>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</si>
  <si>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</si>
  <si>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</si>
  <si>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</si>
  <si>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</si>
  <si>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</si>
  <si>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</si>
  <si>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</si>
  <si>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</si>
  <si>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</si>
  <si>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</si>
  <si>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</si>
  <si>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</si>
  <si>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</si>
  <si>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</si>
  <si>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</si>
  <si>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</si>
  <si>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</si>
  <si>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</si>
  <si>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</si>
  <si>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</si>
  <si>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</si>
  <si>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</si>
  <si>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</si>
  <si>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</si>
  <si>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</si>
  <si>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</si>
  <si>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</si>
  <si>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</si>
  <si>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</si>
  <si>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</si>
  <si>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</si>
  <si>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</si>
  <si>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</si>
  <si>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</si>
  <si>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</si>
  <si>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</si>
  <si>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</si>
  <si>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</si>
  <si>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</si>
  <si>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</si>
  <si>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</si>
  <si>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</si>
  <si>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</si>
  <si>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</si>
  <si>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</si>
  <si>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</si>
  <si>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</si>
  <si>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</si>
  <si>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</si>
  <si>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</si>
  <si>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</si>
  <si>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</si>
  <si>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</si>
  <si>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</si>
  <si>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</si>
  <si>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</si>
  <si>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</si>
  <si>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</si>
  <si>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</si>
  <si>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</si>
  <si>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</si>
  <si>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</si>
  <si>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</si>
  <si>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</si>
  <si>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</si>
  <si>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</si>
  <si>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</si>
  <si>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</si>
  <si>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</si>
  <si>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</si>
  <si>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</si>
  <si>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</si>
  <si>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</si>
  <si>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</si>
  <si>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</si>
  <si>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</si>
  <si>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</si>
  <si>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</si>
  <si>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</si>
  <si>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</si>
  <si>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</si>
  <si>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</si>
  <si>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</si>
  <si>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</si>
  <si>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</si>
  <si>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</si>
  <si>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</si>
  <si>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</si>
  <si>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</si>
  <si>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</si>
  <si>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</si>
  <si>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</si>
  <si>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</si>
  <si>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</si>
  <si>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</si>
  <si>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</si>
  <si>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</si>
  <si>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</si>
  <si>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</si>
  <si>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</si>
  <si>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</si>
  <si>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</si>
  <si>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</si>
  <si>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</si>
  <si>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</si>
  <si>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</si>
  <si>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</si>
  <si>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</si>
  <si>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</si>
  <si>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</si>
  <si>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</si>
  <si>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</si>
  <si>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</si>
  <si>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</si>
  <si>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</si>
  <si>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</si>
  <si>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</si>
  <si>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</si>
  <si>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</si>
  <si>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</si>
  <si>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</si>
  <si>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</si>
  <si>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</si>
  <si>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</si>
  <si>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</si>
  <si>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</si>
  <si>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</si>
  <si>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</si>
  <si>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</si>
  <si>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</si>
  <si>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</si>
  <si>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</si>
  <si>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</si>
  <si>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</si>
  <si>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</si>
  <si>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</si>
  <si>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</si>
  <si>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</si>
  <si>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</si>
  <si>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</si>
  <si>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</si>
  <si>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</si>
  <si>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</si>
  <si>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</si>
  <si>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</si>
  <si>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</si>
  <si>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</si>
  <si>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</si>
  <si>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</si>
  <si>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</si>
  <si>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</si>
  <si>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</si>
  <si>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</si>
  <si>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</si>
  <si>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</si>
  <si>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</si>
  <si>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</si>
  <si>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</si>
  <si>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</si>
  <si>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</si>
  <si>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</si>
  <si>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</si>
  <si>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</si>
  <si>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</si>
  <si>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</si>
  <si>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</si>
  <si>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</si>
  <si>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</si>
  <si>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</si>
  <si>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</si>
  <si>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</si>
  <si>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</si>
  <si>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</si>
  <si>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</si>
  <si>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</si>
  <si>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</si>
  <si>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</si>
  <si>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</si>
  <si>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</si>
  <si>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</si>
  <si>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</si>
  <si>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</si>
  <si>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</si>
  <si>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</si>
  <si>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</si>
  <si>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</si>
  <si>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</si>
  <si>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</si>
  <si>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</si>
  <si>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</si>
  <si>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</si>
  <si>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</si>
  <si>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</si>
  <si>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</si>
  <si>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</si>
  <si>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</si>
  <si>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</si>
  <si>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</si>
  <si>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</si>
  <si>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</si>
  <si>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</si>
  <si>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</si>
  <si>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</si>
  <si>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</si>
  <si>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</si>
  <si>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</si>
  <si>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</si>
  <si>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</si>
  <si>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</si>
  <si>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</si>
  <si>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</si>
  <si>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</si>
  <si>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</si>
  <si>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</si>
  <si>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</si>
  <si>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</si>
  <si>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</si>
  <si>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</si>
  <si>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</si>
  <si>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</si>
  <si>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</si>
  <si>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</si>
  <si>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</si>
  <si>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</si>
  <si>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</si>
  <si>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</si>
  <si>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</si>
  <si>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</si>
  <si>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</si>
  <si>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</si>
  <si>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</si>
  <si>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</si>
  <si>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</si>
  <si>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</si>
  <si>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</si>
  <si>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</si>
  <si>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</si>
  <si>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</si>
  <si>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</si>
  <si>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</si>
  <si>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</si>
  <si>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</si>
  <si>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</si>
  <si>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</si>
  <si>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</si>
  <si>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</si>
  <si>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</si>
  <si>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</si>
  <si>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</si>
  <si>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</si>
  <si>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</si>
  <si>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</si>
  <si>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</si>
  <si>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</si>
  <si>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</si>
  <si>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</si>
  <si>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</si>
  <si>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</si>
  <si>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</si>
  <si>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</si>
  <si>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</si>
  <si>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</si>
  <si>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</si>
  <si>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</si>
  <si>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</si>
  <si>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</si>
  <si>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</si>
  <si>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</si>
  <si>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</si>
  <si>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</si>
  <si>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</si>
  <si>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</si>
  <si>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</si>
  <si>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</si>
  <si>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</si>
  <si>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</si>
  <si>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</si>
  <si>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</si>
  <si>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</si>
  <si>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</si>
  <si>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</si>
  <si>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</si>
  <si>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</si>
  <si>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</si>
  <si>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</si>
  <si>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</si>
  <si>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</si>
  <si>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</si>
  <si>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</si>
  <si>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</si>
  <si>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</si>
  <si>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</si>
  <si>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</si>
  <si>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</si>
  <si>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</si>
  <si>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</si>
  <si>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</si>
  <si>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</si>
  <si>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</si>
  <si>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</si>
  <si>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</si>
  <si>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</si>
  <si>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</si>
  <si>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</si>
  <si>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</si>
  <si>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</si>
  <si>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</si>
  <si>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</si>
  <si>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</si>
  <si>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</si>
  <si>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</si>
  <si>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</si>
  <si>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</si>
  <si>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</si>
  <si>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</si>
  <si>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</si>
  <si>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</si>
  <si>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</si>
  <si>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</si>
  <si>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</si>
  <si>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</si>
  <si>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</si>
  <si>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</si>
  <si>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</si>
  <si>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</si>
  <si>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</si>
  <si>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</si>
  <si>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</si>
  <si>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</si>
  <si>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</si>
  <si>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</si>
  <si>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</si>
  <si>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</si>
  <si>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</si>
  <si>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</si>
  <si>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</si>
  <si>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</si>
  <si>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</si>
  <si>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</si>
  <si>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</si>
  <si>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</si>
  <si>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</si>
  <si>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</si>
  <si>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</si>
  <si>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</si>
  <si>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</si>
  <si>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</si>
  <si>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</si>
  <si>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</si>
  <si>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</si>
  <si>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</si>
  <si>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</si>
  <si>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</si>
  <si>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</si>
  <si>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</si>
  <si>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</si>
  <si>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</si>
  <si>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</si>
  <si>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</si>
  <si>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</si>
  <si>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</si>
  <si>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</si>
  <si>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</si>
  <si>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</si>
  <si>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</si>
  <si>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</si>
  <si>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</si>
  <si>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</si>
  <si>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</si>
  <si>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</si>
  <si>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</si>
  <si>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</si>
  <si>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</si>
  <si>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</si>
  <si>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</si>
  <si>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</si>
  <si>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</si>
  <si>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</si>
  <si>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</si>
  <si>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</si>
  <si>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</si>
  <si>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</si>
  <si>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</si>
  <si>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</si>
  <si>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</si>
  <si>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</si>
  <si>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</si>
  <si>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</si>
  <si>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</si>
  <si>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</si>
  <si>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</si>
  <si>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</si>
  <si>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</si>
  <si>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</si>
  <si>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</si>
  <si>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</si>
  <si>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</si>
  <si>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</si>
  <si>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</si>
  <si>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</si>
  <si>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</si>
  <si>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</si>
  <si>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</si>
  <si>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</si>
  <si>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</si>
  <si>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</si>
  <si>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</si>
  <si>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</si>
  <si>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</si>
  <si>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</si>
  <si>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</si>
  <si>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</si>
  <si>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</si>
  <si>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</si>
  <si>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</si>
  <si>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</si>
  <si>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</si>
  <si>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</si>
  <si>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</si>
  <si>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</si>
  <si>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</si>
  <si>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</si>
  <si>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</si>
  <si>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</si>
  <si>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</si>
  <si>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</si>
  <si>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</si>
  <si>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</si>
  <si>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</si>
  <si>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</si>
  <si>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</si>
  <si>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</si>
  <si>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</si>
  <si>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</si>
  <si>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</si>
  <si>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</si>
  <si>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</si>
  <si>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</si>
  <si>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</si>
  <si>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</si>
  <si>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</si>
  <si>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</si>
  <si>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</si>
  <si>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</si>
  <si>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</si>
  <si>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</si>
  <si>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</si>
  <si>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</si>
  <si>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</si>
  <si>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</si>
  <si>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</si>
  <si>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</si>
  <si>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</si>
  <si>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</si>
  <si>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</si>
  <si>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</si>
  <si>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</si>
  <si>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</si>
  <si>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</si>
  <si>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</si>
  <si>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</si>
  <si>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</si>
  <si>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</si>
  <si>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</si>
  <si>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</si>
  <si>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</si>
  <si>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</si>
  <si>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</si>
  <si>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</si>
  <si>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</si>
  <si>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</si>
  <si>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</si>
  <si>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</si>
  <si>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</si>
  <si>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</si>
  <si>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</si>
  <si>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</si>
  <si>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</si>
  <si>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</si>
  <si>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</si>
  <si>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</si>
  <si>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</si>
  <si>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</si>
  <si>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</si>
  <si>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</si>
  <si>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</si>
  <si>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</si>
  <si>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</si>
  <si>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</si>
  <si>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</si>
  <si>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</si>
  <si>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</si>
  <si>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</si>
  <si>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</si>
  <si>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</si>
  <si>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</si>
  <si>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</si>
  <si>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</si>
  <si>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</si>
  <si>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</si>
  <si>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</si>
  <si>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</si>
  <si>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</si>
  <si>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</si>
  <si>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</si>
  <si>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</si>
  <si>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</si>
  <si>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</si>
  <si>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</si>
  <si>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</si>
  <si>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</si>
  <si>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</si>
  <si>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</si>
  <si>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</si>
  <si>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</si>
  <si>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</si>
  <si>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</si>
  <si>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</si>
  <si>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</si>
  <si>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</si>
  <si>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</si>
  <si>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</si>
  <si>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</si>
  <si>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</si>
  <si>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</si>
  <si>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</si>
  <si>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</si>
  <si>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</si>
  <si>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</si>
  <si>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</si>
  <si>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</si>
  <si>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</si>
  <si>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</si>
  <si>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</si>
  <si>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</si>
  <si>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</si>
  <si>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</si>
  <si>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</si>
  <si>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</si>
  <si>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</si>
  <si>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</si>
  <si>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</si>
  <si>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</si>
  <si>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</si>
  <si>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</si>
  <si>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</si>
  <si>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</si>
  <si>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</si>
  <si>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</si>
  <si>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</si>
  <si>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</si>
  <si>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</si>
  <si>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</si>
  <si>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</si>
  <si>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</si>
  <si>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</si>
  <si>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</si>
  <si>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</si>
  <si>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</si>
  <si>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</si>
  <si>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</si>
  <si>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</si>
  <si>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</si>
  <si>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</si>
  <si>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</si>
  <si>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</si>
  <si>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</si>
  <si>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</si>
  <si>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</si>
  <si>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</si>
  <si>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</si>
  <si>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</si>
  <si>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</si>
  <si>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</si>
  <si>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</si>
  <si>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</si>
  <si>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</si>
  <si>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</si>
  <si>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</si>
  <si>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</si>
  <si>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</si>
  <si>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</si>
  <si>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</si>
  <si>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</si>
  <si>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</si>
  <si>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</si>
  <si>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</si>
  <si>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</si>
  <si>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</si>
  <si>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</si>
  <si>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</si>
  <si>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</si>
  <si>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</si>
  <si>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</si>
  <si>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</si>
  <si>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</si>
  <si>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</si>
  <si>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</si>
  <si>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</si>
  <si>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</si>
  <si>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</si>
  <si>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</si>
  <si>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</si>
  <si>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</si>
  <si>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</si>
  <si>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</si>
  <si>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</si>
  <si>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</si>
  <si>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</si>
  <si>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</si>
  <si>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</si>
  <si>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</si>
  <si>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</si>
  <si>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</si>
  <si>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</si>
  <si>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</si>
  <si>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</si>
  <si>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</si>
  <si>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</si>
  <si>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</si>
  <si>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</si>
  <si>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</si>
  <si>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</si>
  <si>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</si>
  <si>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</si>
  <si>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</si>
  <si>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</si>
  <si>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</si>
  <si>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</si>
  <si>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</si>
  <si>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</si>
  <si>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</si>
  <si>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</si>
  <si>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</si>
  <si>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</si>
  <si>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</si>
  <si>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</si>
  <si>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</si>
  <si>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</si>
  <si>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</si>
  <si>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</si>
  <si>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</si>
  <si>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</si>
  <si>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</si>
  <si>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</si>
  <si>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</si>
  <si>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</si>
  <si>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</si>
  <si>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</si>
  <si>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</si>
  <si>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</si>
  <si>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</si>
  <si>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</si>
  <si>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</si>
  <si>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</si>
  <si>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</si>
  <si>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</si>
  <si>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</si>
  <si>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</si>
  <si>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</si>
  <si>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</si>
  <si>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</si>
  <si>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</si>
  <si>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</si>
  <si>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</si>
  <si>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</si>
  <si>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</si>
  <si>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</si>
  <si>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</si>
  <si>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</si>
  <si>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</si>
  <si>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</si>
  <si>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</si>
  <si>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</si>
  <si>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</si>
  <si>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</si>
  <si>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</si>
  <si>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</si>
  <si>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</si>
  <si>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</si>
  <si>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</si>
  <si>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</si>
  <si>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</si>
  <si>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</si>
  <si>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</si>
  <si>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</si>
  <si>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</si>
  <si>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</si>
  <si>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</si>
  <si>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</si>
  <si>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</si>
  <si>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</si>
  <si>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</si>
  <si>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</si>
  <si>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</si>
  <si>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</si>
  <si>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</si>
  <si>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</si>
  <si>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</si>
  <si>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</si>
  <si>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</si>
  <si>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</si>
  <si>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</si>
  <si>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</si>
  <si>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</si>
  <si>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</si>
  <si>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</si>
  <si>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</si>
  <si>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</si>
  <si>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</si>
  <si>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</si>
  <si>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</si>
  <si>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</si>
  <si>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</si>
  <si>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</si>
  <si>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</si>
  <si>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</si>
  <si>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</si>
  <si>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</si>
  <si>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</si>
  <si>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</si>
  <si>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</si>
  <si>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</si>
  <si>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</si>
  <si>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</si>
  <si>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</si>
  <si>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</si>
  <si>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</si>
  <si>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</si>
  <si>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</si>
  <si>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</si>
  <si>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</si>
  <si>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</si>
  <si>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</si>
  <si>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</si>
  <si>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</si>
  <si>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</si>
  <si>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</si>
  <si>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</si>
  <si>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</si>
  <si>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</si>
  <si>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</si>
  <si>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</si>
  <si>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</si>
  <si>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</si>
  <si>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</si>
  <si>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</si>
  <si>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</si>
  <si>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</si>
  <si>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</si>
  <si>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</si>
  <si>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</si>
  <si>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</si>
  <si>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</si>
  <si>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</si>
  <si>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</si>
  <si>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</si>
  <si>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</si>
  <si>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</si>
  <si>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</si>
  <si>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</si>
  <si>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</si>
  <si>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</si>
  <si>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</si>
  <si>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</si>
  <si>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</si>
  <si>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</si>
  <si>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</si>
  <si>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</si>
  <si>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</si>
  <si>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</si>
  <si>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</si>
  <si>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</si>
  <si>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</si>
  <si>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</si>
  <si>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</si>
  <si>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</si>
  <si>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</si>
  <si>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</si>
  <si>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</si>
  <si>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</si>
  <si>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</si>
  <si>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</si>
  <si>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</si>
  <si>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</si>
  <si>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</si>
  <si>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</si>
  <si>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</si>
  <si>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</si>
  <si>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</si>
  <si>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</si>
  <si>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</si>
  <si>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</si>
  <si>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</si>
  <si>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</si>
  <si>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</si>
  <si>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</si>
  <si>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</si>
  <si>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</si>
  <si>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</si>
  <si>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</si>
  <si>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</si>
  <si>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</si>
  <si>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</si>
  <si>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</si>
  <si>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</si>
  <si>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</si>
  <si>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</si>
  <si>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</si>
  <si>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</si>
  <si>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</si>
  <si>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</si>
  <si>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</si>
  <si>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</si>
  <si>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</si>
  <si>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</si>
  <si>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</si>
  <si>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</si>
  <si>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</si>
  <si>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</si>
  <si>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</si>
  <si>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</si>
  <si>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</si>
  <si>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</si>
  <si>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</si>
  <si>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</si>
  <si>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</si>
  <si>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</si>
  <si>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</si>
  <si>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</si>
  <si>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</si>
  <si>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</si>
  <si>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</si>
  <si>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</si>
  <si>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</si>
  <si>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</si>
  <si>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</si>
  <si>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</si>
  <si>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</si>
  <si>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</si>
  <si>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</si>
  <si>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</si>
  <si>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</si>
  <si>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</si>
  <si>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</si>
  <si>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</si>
  <si>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</si>
  <si>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</si>
  <si>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</si>
  <si>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</si>
  <si>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</si>
  <si>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</si>
  <si>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</si>
  <si>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</si>
  <si>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</si>
  <si>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</si>
  <si>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</si>
  <si>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</si>
  <si>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</si>
  <si>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</si>
  <si>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</si>
  <si>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</si>
  <si>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</si>
  <si>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</si>
  <si>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</si>
  <si>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</si>
  <si>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</si>
  <si>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</si>
  <si>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</si>
  <si>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</si>
  <si>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</si>
  <si>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</si>
  <si>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</si>
  <si>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</si>
  <si>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</si>
  <si>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</si>
  <si>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</si>
  <si>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</si>
  <si>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</si>
  <si>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</si>
  <si>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</si>
  <si>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</si>
  <si>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</si>
  <si>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</si>
  <si>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</si>
  <si>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</si>
  <si>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</si>
  <si>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</si>
  <si>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</si>
  <si>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</si>
  <si>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</si>
  <si>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</si>
  <si>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</si>
  <si>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</si>
  <si>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</si>
  <si>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</si>
  <si>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</si>
  <si>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</si>
  <si>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</si>
  <si>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</si>
  <si>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</si>
  <si>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</si>
  <si>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</si>
  <si>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</si>
  <si>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</si>
  <si>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</si>
  <si>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</si>
  <si>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</si>
  <si>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</si>
  <si>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</si>
  <si>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</si>
  <si>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</si>
  <si>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</si>
  <si>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</si>
  <si>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</si>
  <si>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</si>
  <si>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</si>
  <si>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</si>
  <si>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</si>
  <si>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</si>
  <si>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</si>
  <si>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</si>
  <si>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</si>
  <si>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</si>
  <si>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</si>
  <si>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</si>
  <si>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</si>
  <si>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</si>
  <si>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</si>
  <si>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</si>
  <si>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</si>
  <si>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</si>
  <si>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</si>
  <si>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</si>
  <si>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</si>
  <si>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</si>
  <si>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</si>
  <si>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</si>
  <si>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</si>
  <si>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</si>
  <si>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</si>
  <si>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</si>
  <si>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</si>
  <si>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</si>
  <si>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</si>
  <si>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</si>
  <si>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</si>
  <si>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</si>
  <si>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</si>
  <si>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</si>
  <si>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</si>
  <si>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</si>
  <si>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</si>
  <si>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</si>
  <si>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</si>
  <si>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</si>
  <si>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</si>
  <si>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</si>
  <si>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</si>
  <si>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</si>
  <si>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</si>
  <si>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</si>
  <si>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</si>
  <si>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</si>
  <si>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</si>
  <si>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</si>
  <si>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</si>
  <si>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</si>
  <si>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</si>
  <si>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</si>
  <si>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</si>
  <si>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</si>
  <si>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</si>
  <si>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</si>
  <si>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</si>
  <si>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</si>
  <si>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</si>
  <si>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</si>
  <si>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</si>
  <si>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</si>
  <si>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</si>
  <si>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</si>
  <si>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</si>
  <si>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</si>
  <si>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</si>
  <si>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</si>
  <si>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</si>
  <si>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</si>
  <si>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</si>
  <si>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</si>
  <si>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</si>
  <si>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</si>
  <si>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</si>
  <si>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</si>
  <si>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</si>
  <si>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</si>
  <si>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</si>
  <si>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</si>
  <si>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</si>
  <si>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</si>
  <si>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</si>
  <si>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</si>
  <si>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</si>
  <si>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</si>
  <si>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</si>
  <si>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</si>
  <si>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</si>
  <si>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</si>
  <si>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</si>
  <si>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</si>
  <si>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</si>
  <si>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</si>
  <si>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</si>
  <si>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</si>
  <si>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</si>
  <si>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</si>
  <si>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</si>
  <si>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</si>
  <si>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</si>
  <si>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</si>
  <si>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</si>
  <si>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</si>
  <si>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</si>
  <si>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</si>
  <si>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</si>
  <si>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</si>
  <si>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</si>
  <si>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</si>
  <si>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</si>
  <si>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</si>
  <si>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</si>
  <si>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</si>
  <si>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</si>
  <si>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</si>
  <si>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</si>
  <si>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</si>
  <si>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</si>
  <si>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</si>
  <si>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</si>
  <si>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</si>
  <si>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</si>
  <si>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</si>
  <si>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</si>
  <si>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</si>
  <si>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</si>
  <si>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</si>
  <si>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</si>
  <si>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</si>
  <si>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</si>
  <si>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</si>
  <si>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</si>
  <si>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</si>
  <si>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</si>
  <si>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</si>
  <si>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</si>
  <si>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</si>
  <si>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</si>
  <si>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</si>
  <si>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</si>
  <si>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</si>
  <si>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</si>
  <si>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</si>
  <si>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</si>
  <si>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</si>
  <si>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</si>
  <si>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</si>
  <si>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</si>
  <si>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</si>
  <si>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</si>
  <si>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</si>
  <si>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</si>
  <si>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</si>
  <si>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</si>
  <si>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</si>
  <si>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</si>
  <si>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</si>
  <si>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</si>
  <si>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</si>
  <si>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</si>
  <si>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</si>
  <si>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</si>
  <si>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</si>
  <si>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</si>
  <si>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</si>
  <si>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</si>
  <si>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</si>
  <si>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</si>
  <si>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</si>
  <si>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</si>
  <si>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</si>
  <si>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</si>
  <si>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</si>
  <si>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</si>
  <si>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</si>
  <si>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</si>
  <si>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</si>
  <si>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</si>
  <si>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</si>
  <si>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</si>
  <si>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</si>
  <si>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</si>
  <si>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</si>
  <si>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</si>
  <si>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</si>
  <si>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</si>
  <si>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</si>
  <si>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</si>
  <si>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</si>
  <si>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</si>
  <si>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</si>
  <si>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</si>
  <si>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</si>
  <si>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</si>
  <si>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</si>
  <si>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</si>
  <si>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</si>
  <si>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</si>
  <si>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</si>
  <si>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</si>
  <si>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</si>
  <si>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</si>
  <si>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</si>
  <si>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</si>
  <si>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</si>
  <si>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</si>
  <si>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</si>
  <si>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</si>
  <si>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</si>
  <si>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</si>
  <si>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</si>
  <si>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</si>
  <si>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</si>
  <si>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</si>
  <si>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</si>
  <si>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</si>
  <si>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</si>
  <si>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</si>
  <si>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</si>
  <si>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</si>
  <si>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</si>
  <si>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</si>
  <si>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</si>
  <si>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</si>
  <si>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</si>
  <si>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</si>
  <si>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</si>
  <si>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</si>
  <si>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</si>
  <si>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</si>
  <si>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</si>
  <si>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</si>
  <si>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</si>
  <si>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</si>
  <si>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</si>
  <si>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</si>
  <si>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</si>
  <si>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</si>
  <si>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</si>
  <si>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</si>
  <si>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</si>
  <si>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</si>
  <si>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</si>
  <si>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</si>
  <si>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</si>
  <si>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</si>
  <si>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</si>
  <si>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</si>
  <si>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</si>
  <si>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</si>
  <si>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</si>
  <si>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</si>
  <si>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</si>
  <si>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</si>
  <si>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</si>
  <si>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</si>
  <si>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</si>
  <si>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</si>
  <si>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</si>
  <si>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</si>
  <si>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</si>
  <si>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</si>
  <si>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</si>
  <si>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</si>
  <si>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</si>
  <si>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</si>
  <si>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</si>
  <si>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</si>
  <si>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</si>
  <si>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</si>
  <si>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</si>
  <si>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</si>
  <si>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</si>
  <si>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</si>
  <si>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</si>
  <si>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</si>
  <si>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</si>
  <si>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</si>
  <si>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</si>
  <si>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</si>
  <si>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</si>
  <si>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</si>
  <si>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</si>
  <si>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</si>
  <si>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</si>
  <si>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</si>
  <si>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</si>
  <si>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</si>
  <si>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</si>
  <si>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</si>
  <si>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</si>
  <si>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</si>
  <si>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</si>
  <si>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</si>
  <si>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</si>
  <si>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</si>
  <si>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</si>
  <si>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</si>
  <si>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</si>
  <si>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</si>
  <si>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</si>
  <si>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</si>
  <si>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</si>
  <si>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</si>
  <si>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</si>
  <si>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</si>
  <si>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</si>
  <si>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</si>
  <si>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</si>
  <si>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</si>
  <si>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</si>
  <si>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</si>
  <si>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</si>
  <si>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</si>
  <si>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</si>
  <si>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</si>
  <si>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</si>
  <si>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</si>
  <si>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</si>
  <si>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</si>
  <si>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</si>
  <si>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</si>
  <si>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</si>
  <si>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</si>
  <si>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</si>
  <si>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</si>
  <si>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</si>
  <si>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</si>
  <si>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</si>
  <si>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</si>
  <si>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</si>
  <si>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</si>
  <si>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</si>
  <si>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</si>
  <si>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</si>
  <si>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</si>
  <si>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</si>
  <si>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</si>
  <si>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</si>
  <si>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</si>
  <si>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</si>
  <si>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</si>
  <si>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</si>
  <si>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</si>
  <si>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</si>
  <si>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</si>
  <si>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</si>
  <si>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</si>
  <si>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</si>
  <si>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</si>
  <si>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</si>
  <si>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</si>
  <si>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</si>
  <si>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</si>
  <si>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</si>
  <si>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</si>
  <si>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</si>
  <si>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</si>
  <si>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</si>
  <si>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</si>
  <si>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</si>
  <si>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</si>
  <si>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</si>
  <si>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</si>
  <si>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</si>
  <si>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</si>
  <si>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</si>
  <si>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</si>
  <si>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</si>
  <si>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</si>
  <si>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</si>
  <si>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</si>
  <si>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</si>
  <si>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</si>
  <si>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</si>
  <si>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</si>
  <si>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</si>
  <si>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</si>
  <si>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</si>
  <si>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</si>
  <si>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</si>
  <si>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</si>
  <si>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</si>
  <si>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</si>
  <si>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</si>
  <si>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</si>
  <si>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</si>
  <si>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</si>
  <si>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</si>
  <si>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</si>
  <si>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</si>
  <si>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</si>
  <si>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</si>
  <si>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</si>
  <si>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</si>
  <si>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</si>
  <si>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</si>
  <si>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</si>
  <si>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</si>
  <si>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</si>
  <si>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</si>
  <si>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</si>
  <si>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</si>
  <si>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</si>
  <si>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</si>
  <si>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</si>
  <si>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</si>
  <si>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</si>
  <si>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</si>
  <si>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</si>
  <si>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</si>
  <si>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</si>
  <si>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</si>
  <si>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</si>
  <si>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</si>
  <si>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</si>
  <si>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</si>
  <si>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</si>
  <si>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</si>
  <si>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</si>
  <si>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</si>
  <si>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</si>
  <si>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</si>
  <si>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</si>
  <si>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</si>
  <si>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</si>
  <si>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</si>
  <si>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</si>
  <si>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</si>
  <si>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</si>
  <si>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</si>
  <si>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</si>
  <si>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</si>
  <si>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</si>
  <si>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</si>
  <si>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</si>
  <si>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</si>
  <si>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</si>
  <si>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</si>
  <si>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</si>
  <si>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</si>
  <si>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</si>
  <si>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</si>
  <si>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</si>
  <si>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</si>
  <si>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</si>
  <si>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</si>
  <si>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</si>
  <si>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</si>
  <si>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</si>
  <si>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</si>
  <si>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</si>
  <si>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</si>
  <si>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</si>
  <si>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</si>
  <si>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</si>
  <si>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</si>
  <si>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</si>
  <si>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</si>
  <si>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</si>
  <si>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</si>
  <si>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</si>
  <si>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</si>
  <si>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</si>
  <si>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</si>
  <si>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</si>
  <si>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</si>
  <si>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</si>
  <si>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</si>
  <si>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</si>
  <si>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</si>
  <si>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</si>
  <si>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</si>
  <si>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</si>
  <si>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</si>
  <si>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</si>
  <si>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</si>
  <si>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</si>
  <si>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</si>
  <si>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</si>
  <si>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</si>
  <si>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</si>
  <si>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</si>
  <si>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</si>
  <si>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</si>
  <si>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</si>
  <si>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</si>
  <si>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</si>
  <si>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</si>
  <si>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</si>
  <si>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</si>
  <si>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</si>
  <si>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</si>
  <si>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</si>
  <si>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</si>
  <si>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</si>
  <si>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</si>
  <si>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</si>
  <si>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</si>
  <si>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</si>
  <si>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</si>
  <si>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</si>
  <si>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</si>
  <si>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</si>
  <si>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</si>
  <si>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</si>
  <si>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</si>
  <si>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</si>
  <si>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</si>
  <si>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</si>
  <si>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</si>
  <si>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</si>
  <si>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</si>
  <si>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</si>
  <si>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</si>
  <si>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</si>
  <si>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</si>
  <si>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</si>
  <si>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</si>
  <si>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</si>
  <si>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</si>
  <si>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</si>
  <si>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</si>
  <si>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</si>
  <si>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</si>
  <si>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</si>
  <si>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</si>
  <si>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</si>
  <si>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</si>
  <si>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</si>
  <si>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</si>
  <si>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</si>
  <si>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</si>
  <si>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</si>
  <si>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</si>
  <si>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</si>
  <si>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</si>
  <si>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</si>
  <si>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</si>
  <si>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</si>
  <si>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</si>
  <si>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</si>
  <si>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</si>
  <si>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</si>
  <si>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</si>
  <si>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</si>
  <si>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</si>
  <si>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</si>
  <si>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</si>
  <si>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</si>
  <si>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</si>
  <si>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</si>
  <si>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</si>
  <si>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</si>
  <si>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</si>
  <si>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</si>
  <si>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</si>
  <si>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</si>
  <si>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</si>
  <si>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</si>
  <si>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</si>
  <si>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</si>
  <si>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</si>
  <si>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</si>
  <si>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</si>
  <si>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</si>
  <si>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</si>
  <si>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</si>
  <si>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</si>
  <si>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</si>
  <si>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</si>
  <si>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</si>
  <si>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</si>
  <si>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</si>
  <si>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</si>
  <si>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</si>
  <si>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</si>
  <si>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</si>
  <si>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</si>
  <si>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</si>
  <si>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</si>
  <si>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</si>
  <si>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</si>
  <si>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</si>
  <si>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</si>
  <si>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</si>
  <si>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</si>
  <si>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</si>
  <si>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</si>
  <si>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</si>
  <si>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</si>
  <si>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</si>
  <si>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</si>
  <si>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</si>
  <si>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</si>
  <si>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</si>
  <si>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</si>
  <si>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</si>
  <si>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</si>
  <si>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</si>
  <si>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</si>
  <si>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</si>
  <si>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</si>
  <si>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</si>
  <si>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</si>
  <si>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</si>
  <si>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</si>
  <si>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</si>
  <si>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</si>
  <si>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</si>
  <si>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</si>
  <si>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</si>
  <si>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</si>
  <si>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</si>
  <si>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</si>
  <si>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</si>
  <si>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</si>
  <si>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</si>
  <si>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</si>
  <si>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</si>
  <si>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</si>
  <si>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</si>
  <si>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</si>
  <si>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</si>
  <si>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</si>
  <si>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</si>
  <si>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</si>
  <si>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</si>
  <si>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</si>
  <si>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</si>
  <si>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</si>
  <si>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</si>
  <si>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</si>
  <si>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</si>
  <si>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</si>
  <si>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</si>
  <si>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</si>
  <si>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</si>
  <si>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</si>
  <si>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</si>
  <si>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</si>
  <si>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</si>
  <si>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</si>
  <si>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</si>
  <si>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</si>
  <si>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</si>
  <si>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</si>
  <si>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</si>
  <si>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</si>
  <si>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</si>
  <si>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</si>
  <si>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</si>
  <si>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</si>
  <si>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</si>
  <si>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</si>
  <si>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</si>
  <si>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</si>
  <si>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</si>
  <si>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</si>
  <si>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</si>
  <si>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</si>
  <si>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</si>
  <si>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</si>
  <si>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</si>
  <si>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</si>
  <si>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</si>
  <si>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</si>
  <si>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</si>
  <si>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</si>
  <si>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</si>
  <si>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</si>
  <si>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</si>
  <si>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</si>
  <si>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</si>
  <si>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</si>
  <si>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</si>
  <si>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</si>
  <si>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</si>
  <si>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</si>
  <si>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</si>
  <si>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</si>
  <si>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</si>
  <si>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</si>
  <si>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</si>
  <si>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</si>
  <si>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</si>
  <si>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</si>
  <si>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</si>
  <si>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</si>
  <si>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</si>
  <si>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</si>
  <si>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</si>
  <si>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</si>
  <si>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</si>
  <si>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</si>
  <si>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</si>
  <si>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</si>
  <si>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</si>
  <si>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</si>
  <si>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</si>
  <si>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</si>
  <si>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</si>
  <si>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</si>
  <si>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</si>
  <si>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</si>
  <si>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</si>
  <si>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</si>
  <si>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</si>
  <si>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</si>
  <si>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</si>
  <si>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</si>
  <si>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</si>
  <si>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</si>
  <si>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</si>
  <si>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</si>
  <si>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</si>
  <si>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</si>
  <si>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</si>
  <si>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</si>
  <si>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</si>
  <si>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</si>
  <si>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</si>
  <si>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</si>
  <si>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</si>
  <si>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</si>
  <si>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</si>
  <si>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</si>
  <si>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</si>
  <si>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</si>
  <si>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</si>
  <si>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</si>
  <si>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</si>
  <si>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</si>
  <si>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</si>
  <si>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</si>
  <si>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</si>
  <si>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</si>
  <si>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</si>
  <si>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</si>
  <si>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</si>
  <si>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</si>
  <si>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</si>
  <si>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</si>
  <si>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</si>
  <si>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</si>
  <si>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</si>
  <si>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</si>
  <si>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</si>
  <si>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</si>
  <si>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</si>
  <si>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</si>
  <si>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</si>
  <si>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</si>
  <si>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</si>
  <si>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</si>
  <si>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</si>
  <si>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</si>
  <si>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</si>
  <si>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</si>
  <si>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</si>
  <si>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</si>
  <si>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</si>
  <si>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</si>
  <si>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</si>
  <si>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</si>
  <si>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</si>
  <si>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</si>
  <si>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</si>
  <si>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</si>
  <si>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</si>
  <si>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</si>
  <si>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</si>
  <si>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</si>
  <si>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</si>
  <si>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</si>
  <si>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</si>
  <si>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</si>
  <si>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</si>
  <si>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</si>
  <si>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</si>
  <si>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</si>
  <si>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</si>
  <si>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</si>
  <si>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</si>
  <si>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</si>
  <si>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</si>
  <si>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</si>
  <si>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</si>
  <si>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</si>
  <si>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</si>
  <si>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</si>
  <si>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</si>
  <si>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</si>
  <si>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</si>
  <si>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</si>
  <si>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</si>
  <si>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</si>
  <si>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</si>
  <si>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</si>
  <si>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</si>
  <si>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</si>
  <si>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</si>
  <si>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</si>
  <si>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</si>
  <si>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</si>
  <si>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</si>
  <si>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</si>
  <si>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</si>
  <si>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</si>
  <si>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</si>
  <si>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</si>
  <si>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</si>
  <si>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</si>
  <si>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</si>
  <si>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</si>
  <si>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</si>
  <si>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</si>
  <si>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</si>
  <si>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</si>
  <si>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</si>
  <si>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</si>
  <si>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</si>
  <si>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</si>
  <si>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</si>
  <si>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</si>
  <si>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</si>
  <si>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</si>
  <si>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</si>
  <si>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</si>
  <si>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</si>
  <si>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</si>
  <si>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</si>
  <si>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</si>
  <si>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</si>
  <si>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</si>
  <si>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</si>
  <si>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</si>
  <si>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</si>
  <si>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</si>
  <si>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</si>
  <si>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</si>
  <si>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</si>
  <si>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</si>
  <si>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</si>
  <si>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</si>
  <si>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</si>
  <si>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</si>
  <si>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</si>
  <si>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</si>
  <si>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</si>
  <si>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</si>
  <si>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</si>
  <si>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</si>
  <si>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</si>
  <si>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</si>
  <si>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</si>
  <si>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</si>
  <si>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</si>
  <si>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</si>
  <si>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</si>
  <si>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</si>
  <si>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</si>
  <si>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</si>
  <si>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</si>
  <si>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</si>
  <si>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</si>
  <si>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</si>
  <si>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</si>
  <si>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</si>
  <si>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</si>
  <si>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</si>
  <si>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</si>
  <si>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</si>
  <si>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</si>
  <si>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</si>
  <si>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</si>
  <si>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</si>
  <si>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</si>
  <si>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</si>
  <si>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</si>
  <si>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</si>
  <si>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</si>
  <si>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</si>
  <si>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</si>
  <si>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</si>
  <si>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</si>
  <si>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</si>
  <si>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</si>
  <si>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</si>
  <si>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</si>
  <si>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</si>
  <si>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</si>
  <si>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</si>
  <si>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</si>
  <si>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</si>
  <si>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</si>
  <si>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</si>
  <si>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</si>
  <si>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</si>
  <si>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</si>
  <si>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</si>
  <si>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</si>
  <si>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</si>
  <si>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</si>
  <si>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</si>
  <si>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</si>
  <si>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</si>
  <si>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</si>
  <si>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</si>
  <si>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</si>
  <si>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</si>
  <si>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</si>
  <si>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</si>
  <si>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</si>
  <si>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</si>
  <si>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</si>
  <si>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</si>
  <si>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</si>
  <si>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</si>
  <si>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</si>
  <si>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</si>
  <si>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</si>
  <si>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</si>
  <si>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</si>
  <si>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</si>
  <si>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</si>
  <si>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</si>
  <si>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</si>
  <si>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</si>
  <si>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</si>
  <si>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</si>
  <si>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</si>
  <si>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</si>
  <si>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</si>
  <si>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</si>
  <si>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</si>
  <si>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</si>
  <si>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</si>
  <si>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</si>
  <si>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</si>
  <si>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</si>
  <si>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</si>
  <si>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</si>
  <si>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</si>
  <si>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</si>
  <si>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</si>
  <si>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</si>
  <si>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</si>
  <si>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</si>
  <si>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</si>
  <si>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</si>
  <si>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</si>
  <si>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</si>
  <si>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</si>
  <si>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</si>
  <si>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</si>
  <si>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</si>
  <si>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</si>
  <si>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</si>
  <si>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</si>
  <si>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</si>
  <si>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</si>
  <si>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</si>
  <si>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</si>
  <si>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</si>
  <si>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</si>
  <si>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</si>
  <si>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</si>
  <si>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</si>
  <si>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</si>
  <si>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</si>
  <si>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</si>
  <si>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</si>
  <si>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</si>
  <si>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</si>
  <si>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</si>
  <si>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</si>
  <si>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</si>
  <si>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</si>
  <si>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</si>
  <si>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</si>
  <si>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</si>
  <si>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</si>
  <si>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</si>
  <si>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</si>
  <si>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</si>
  <si>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</si>
  <si>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</si>
  <si>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</si>
  <si>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</si>
  <si>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</si>
  <si>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</si>
  <si>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</si>
  <si>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</si>
  <si>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</si>
  <si>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</si>
  <si>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</si>
  <si>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</si>
  <si>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</si>
  <si>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</si>
  <si>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</si>
  <si>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</si>
  <si>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</si>
  <si>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</si>
  <si>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</si>
  <si>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</si>
  <si>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</si>
  <si>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</si>
  <si>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</si>
  <si>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</si>
  <si>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</si>
  <si>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</si>
  <si>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</si>
  <si>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</si>
  <si>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</si>
  <si>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</si>
  <si>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</si>
  <si>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</si>
  <si>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</si>
  <si>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</si>
  <si>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</si>
  <si>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</si>
  <si>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</si>
  <si>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</si>
  <si>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</si>
  <si>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</si>
  <si>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</si>
  <si>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</si>
  <si>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</si>
  <si>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</si>
  <si>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</si>
  <si>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</si>
  <si>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</si>
  <si>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</si>
  <si>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</si>
  <si>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</si>
  <si>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</si>
  <si>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</si>
  <si>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</si>
  <si>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</si>
  <si>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</si>
  <si>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</si>
  <si>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</si>
  <si>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</si>
  <si>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</si>
  <si>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</si>
  <si>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</si>
  <si>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</si>
  <si>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</si>
  <si>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</si>
  <si>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</si>
  <si>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</si>
  <si>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</si>
  <si>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</si>
  <si>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</si>
  <si>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</si>
  <si>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</si>
  <si>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</si>
  <si>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</si>
  <si>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</si>
  <si>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</si>
  <si>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</si>
  <si>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</si>
  <si>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</si>
  <si>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</si>
  <si>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</si>
  <si>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</si>
  <si>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</si>
  <si>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</si>
  <si>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</si>
  <si>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</si>
  <si>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</si>
  <si>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</si>
  <si>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</si>
  <si>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</si>
  <si>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</si>
  <si>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</si>
  <si>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</si>
  <si>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</si>
  <si>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</si>
  <si>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</si>
  <si>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</si>
  <si>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</si>
  <si>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</si>
  <si>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</si>
  <si>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</si>
  <si>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</si>
  <si>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</si>
  <si>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</si>
  <si>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</si>
  <si>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</si>
  <si>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</si>
  <si>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</si>
  <si>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</si>
  <si>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</si>
  <si>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</si>
  <si>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</si>
  <si>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</si>
  <si>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</si>
  <si>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</si>
  <si>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</si>
  <si>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</si>
  <si>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</si>
  <si>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</si>
  <si>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</si>
  <si>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</si>
  <si>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</si>
  <si>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</si>
  <si>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</si>
  <si>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</si>
  <si>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</si>
  <si>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</si>
  <si>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</si>
  <si>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</si>
  <si>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</si>
  <si>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</si>
  <si>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</si>
  <si>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</si>
  <si>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</si>
  <si>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</si>
  <si>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</si>
  <si>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</si>
  <si>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</si>
  <si>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</si>
  <si>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</si>
  <si>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</si>
  <si>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</si>
  <si>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</si>
  <si>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</si>
  <si>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</si>
  <si>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</si>
  <si>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</si>
  <si>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</si>
  <si>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</si>
  <si>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</si>
  <si>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</si>
  <si>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</si>
  <si>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</si>
  <si>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</si>
  <si>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</si>
  <si>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</si>
  <si>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</si>
  <si>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</si>
  <si>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</si>
  <si>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</si>
  <si>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</si>
  <si>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</si>
  <si>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</si>
  <si>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</si>
  <si>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</si>
  <si>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</si>
  <si>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</si>
  <si>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</si>
  <si>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</si>
  <si>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</si>
  <si>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</si>
  <si>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</si>
  <si>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</si>
  <si>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</si>
  <si>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</si>
  <si>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</si>
  <si>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</si>
  <si>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</si>
  <si>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</si>
  <si>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</si>
  <si>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</si>
  <si>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</si>
  <si>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</si>
  <si>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</si>
  <si>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</si>
  <si>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</si>
  <si>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</si>
  <si>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</si>
  <si>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</si>
  <si>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</si>
  <si>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</si>
  <si>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</si>
  <si>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</si>
  <si>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</si>
  <si>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</si>
  <si>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</si>
  <si>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</si>
  <si>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</si>
  <si>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</si>
  <si>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</si>
  <si>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</si>
  <si>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</si>
  <si>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</si>
  <si>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</si>
  <si>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</si>
  <si>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</si>
  <si>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</si>
  <si>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</si>
  <si>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</si>
  <si>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</si>
  <si>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</si>
  <si>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</si>
  <si>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</si>
  <si>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</si>
  <si>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</si>
  <si>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</si>
  <si>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</si>
  <si>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</si>
  <si>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</si>
  <si>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</si>
  <si>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</si>
  <si>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</si>
  <si>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</si>
  <si>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</si>
  <si>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</si>
  <si>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</si>
  <si>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</si>
  <si>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</si>
  <si>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</si>
  <si>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</si>
  <si>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</si>
  <si>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</si>
  <si>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</si>
  <si>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</si>
  <si>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</si>
  <si>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</si>
  <si>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</si>
  <si>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</si>
  <si>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</si>
  <si>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</si>
  <si>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</si>
  <si>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</si>
  <si>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</si>
  <si>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</si>
  <si>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</si>
  <si>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</si>
  <si>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</si>
  <si>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</si>
  <si>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</si>
  <si>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</si>
  <si>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</si>
  <si>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</si>
  <si>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</si>
  <si>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</si>
  <si>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</si>
  <si>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</si>
  <si>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</si>
  <si>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</si>
  <si>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</si>
  <si>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</si>
  <si>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</si>
  <si>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</si>
  <si>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</si>
  <si>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</si>
  <si>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</si>
  <si>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</si>
  <si>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</si>
  <si>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</si>
  <si>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</si>
  <si>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</si>
  <si>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</si>
  <si>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</si>
  <si>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</si>
  <si>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</si>
  <si>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</si>
  <si>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</si>
  <si>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</si>
  <si>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</si>
  <si>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</si>
  <si>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</si>
  <si>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</si>
  <si>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</si>
  <si>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</si>
  <si>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</si>
  <si>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</si>
  <si>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</si>
  <si>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</si>
  <si>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</si>
  <si>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</si>
  <si>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</si>
  <si>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</si>
  <si>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</si>
  <si>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</si>
  <si>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</si>
  <si>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</si>
  <si>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</si>
  <si>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</si>
  <si>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</si>
  <si>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</si>
  <si>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</si>
  <si>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</si>
  <si>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</si>
  <si>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</si>
  <si>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</si>
  <si>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</si>
  <si>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</si>
  <si>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</si>
  <si>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</si>
  <si>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</si>
  <si>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</si>
  <si>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</si>
  <si>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</si>
  <si>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</si>
  <si>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</si>
  <si>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</si>
  <si>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</si>
  <si>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</si>
  <si>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</si>
  <si>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</si>
  <si>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</si>
  <si>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</si>
  <si>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</si>
  <si>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</si>
  <si>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</si>
  <si>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</si>
  <si>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</si>
  <si>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</si>
  <si>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</si>
  <si>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</si>
  <si>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</si>
  <si>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</si>
  <si>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</si>
  <si>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</si>
  <si>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</si>
  <si>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</si>
  <si>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</si>
  <si>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</si>
  <si>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</si>
  <si>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</si>
  <si>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</si>
  <si>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</si>
  <si>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</si>
  <si>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</si>
  <si>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</si>
  <si>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</si>
  <si>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</si>
  <si>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</si>
  <si>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</si>
  <si>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</si>
  <si>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</si>
  <si>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</si>
  <si>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</si>
  <si>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</si>
  <si>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</si>
  <si>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</si>
  <si>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</si>
  <si>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</si>
  <si>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</si>
  <si>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</si>
  <si>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</si>
  <si>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</si>
  <si>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</si>
  <si>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</si>
  <si>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</si>
  <si>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</si>
  <si>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</si>
  <si>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</si>
  <si>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</si>
  <si>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</si>
  <si>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</si>
  <si>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</si>
  <si>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</si>
  <si>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</si>
  <si>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</si>
  <si>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</si>
  <si>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</si>
  <si>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</si>
  <si>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</si>
  <si>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</si>
  <si>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</si>
  <si>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</si>
  <si>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</si>
  <si>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</si>
  <si>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</si>
  <si>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</si>
  <si>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</si>
  <si>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</si>
  <si>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</si>
  <si>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</si>
  <si>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</si>
  <si>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</si>
  <si>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</si>
  <si>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</si>
  <si>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</si>
  <si>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</si>
  <si>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</si>
  <si>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</si>
  <si>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</si>
  <si>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</si>
  <si>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</si>
  <si>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</si>
  <si>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</si>
  <si>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</si>
  <si>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</si>
  <si>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</si>
  <si>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</si>
  <si>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</si>
  <si>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</si>
  <si>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</si>
  <si>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</si>
  <si>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</si>
  <si>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</si>
  <si>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</si>
  <si>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</si>
  <si>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</si>
  <si>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</si>
  <si>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</si>
  <si>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</si>
  <si>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</si>
  <si>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</si>
  <si>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</si>
  <si>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</si>
  <si>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</si>
  <si>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</si>
  <si>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</si>
  <si>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</si>
  <si>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</si>
  <si>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</si>
  <si>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</si>
  <si>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</si>
  <si>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</si>
  <si>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</si>
  <si>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</si>
  <si>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</si>
  <si>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</si>
  <si>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</si>
  <si>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</si>
  <si>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</si>
  <si>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</si>
  <si>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</si>
  <si>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</si>
  <si>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</si>
  <si>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</si>
  <si>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</si>
  <si>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</si>
  <si>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</si>
  <si>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</si>
  <si>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</si>
  <si>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</si>
  <si>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</si>
  <si>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</si>
  <si>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</si>
  <si>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</si>
  <si>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</si>
  <si>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</si>
  <si>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</si>
  <si>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</si>
  <si>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</si>
  <si>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</si>
  <si>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</si>
  <si>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</si>
  <si>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</si>
  <si>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</si>
  <si>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</si>
  <si>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</si>
  <si>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</si>
  <si>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</si>
  <si>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</si>
  <si>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</si>
  <si>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</si>
  <si>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</si>
  <si>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</si>
  <si>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</si>
  <si>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</si>
  <si>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</si>
  <si>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</si>
  <si>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</si>
  <si>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</si>
  <si>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</si>
  <si>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</si>
  <si>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</si>
  <si>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</si>
  <si>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</si>
  <si>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</si>
  <si>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</si>
  <si>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</si>
  <si>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</si>
  <si>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</si>
  <si>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</si>
  <si>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</si>
  <si>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</si>
  <si>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</si>
  <si>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</si>
  <si>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</si>
  <si>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</si>
  <si>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</si>
  <si>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</si>
  <si>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</si>
  <si>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</si>
  <si>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</si>
  <si>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</si>
  <si>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</si>
  <si>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</si>
  <si>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</si>
  <si>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</si>
  <si>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</si>
  <si>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</si>
  <si>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</si>
  <si>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</si>
  <si>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</si>
  <si>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</si>
  <si>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</si>
  <si>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</si>
  <si>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</si>
  <si>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</si>
  <si>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</si>
  <si>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</si>
  <si>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</si>
  <si>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</si>
  <si>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</si>
  <si>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</si>
  <si>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</si>
  <si>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</si>
  <si>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</si>
  <si>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</si>
  <si>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</si>
  <si>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</si>
  <si>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</si>
  <si>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</si>
  <si>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</si>
  <si>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</si>
  <si>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</si>
  <si>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</si>
  <si>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</si>
  <si>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</si>
  <si>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</si>
  <si>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</si>
  <si>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</si>
  <si>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</si>
  <si>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</si>
  <si>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</si>
  <si>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</si>
  <si>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</si>
  <si>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</si>
  <si>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</si>
  <si>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</si>
  <si>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</si>
  <si>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</si>
  <si>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</si>
  <si>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</si>
  <si>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</si>
  <si>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</si>
  <si>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</si>
  <si>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</si>
  <si>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</si>
  <si>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</si>
  <si>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</si>
  <si>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</si>
  <si>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</si>
  <si>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</si>
  <si>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</si>
  <si>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</si>
  <si>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</si>
  <si>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</si>
  <si>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</si>
  <si>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</si>
  <si>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</si>
  <si>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</si>
  <si>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</si>
  <si>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</si>
  <si>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</si>
  <si>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</si>
  <si>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</si>
  <si>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</si>
  <si>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</si>
  <si>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</si>
  <si>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</si>
  <si>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</si>
  <si>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</si>
  <si>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</si>
  <si>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</si>
  <si>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</si>
  <si>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</si>
  <si>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</si>
  <si>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</si>
  <si>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</si>
  <si>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</si>
  <si>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</si>
  <si>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</si>
  <si>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</si>
  <si>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</si>
  <si>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</si>
  <si>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</si>
  <si>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</si>
  <si>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</si>
  <si>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</si>
  <si>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</si>
  <si>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</si>
  <si>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</si>
  <si>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</si>
  <si>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</si>
  <si>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</si>
  <si>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</si>
  <si>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</si>
  <si>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</si>
  <si>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</si>
  <si>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</si>
  <si>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</si>
  <si>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</si>
  <si>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</si>
  <si>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</si>
  <si>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</si>
  <si>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</si>
  <si>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</si>
  <si>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</si>
  <si>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</si>
  <si>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</si>
  <si>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</si>
  <si>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</si>
  <si>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</si>
  <si>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</si>
  <si>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</si>
  <si>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</si>
  <si>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</si>
  <si>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</si>
  <si>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</si>
  <si>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</si>
  <si>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</si>
  <si>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</si>
  <si>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</si>
  <si>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</si>
  <si>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</si>
  <si>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</si>
  <si>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</si>
  <si>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</si>
  <si>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</si>
  <si>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</si>
  <si>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</si>
  <si>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</si>
  <si>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</si>
  <si>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</si>
  <si>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</si>
  <si>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</si>
  <si>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</si>
  <si>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</si>
  <si>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</si>
  <si>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</si>
  <si>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</si>
  <si>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</si>
  <si>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</si>
  <si>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</si>
  <si>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</si>
  <si>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</si>
  <si>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</si>
  <si>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</si>
  <si>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</si>
  <si>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</si>
  <si>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</si>
  <si>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</si>
  <si>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</si>
  <si>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</si>
  <si>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</si>
  <si>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</si>
  <si>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</si>
  <si>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</si>
  <si>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</si>
  <si>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</si>
  <si>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</si>
  <si>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</si>
  <si>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</si>
  <si>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</si>
  <si>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</si>
  <si>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</si>
  <si>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</si>
  <si>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</si>
  <si>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</si>
  <si>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</si>
  <si>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</si>
  <si>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</si>
  <si>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</si>
  <si>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</si>
  <si>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</si>
  <si>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</si>
  <si>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</si>
  <si>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</si>
  <si>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</si>
  <si>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</si>
  <si>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</si>
  <si>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</si>
  <si>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</si>
  <si>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</si>
  <si>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</si>
  <si>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</si>
  <si>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</si>
  <si>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</si>
  <si>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</si>
  <si>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</si>
  <si>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</si>
  <si>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</si>
  <si>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</si>
  <si>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</si>
  <si>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</si>
  <si>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</si>
  <si>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</si>
  <si>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</si>
  <si>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</si>
  <si>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</si>
  <si>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</si>
  <si>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</si>
  <si>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</si>
  <si>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</si>
  <si>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</si>
  <si>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</si>
  <si>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</si>
  <si>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</si>
  <si>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</si>
  <si>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</si>
  <si>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</si>
  <si>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</si>
  <si>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</si>
  <si>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</si>
  <si>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</si>
  <si>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</si>
  <si>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</si>
  <si>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</si>
  <si>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</si>
  <si>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</si>
  <si>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</si>
  <si>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</si>
  <si>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</si>
  <si>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</si>
  <si>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</si>
  <si>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</si>
  <si>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</si>
  <si>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</si>
  <si>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</si>
  <si>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</si>
  <si>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</si>
  <si>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</si>
  <si>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</si>
  <si>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</si>
  <si>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</si>
  <si>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</si>
  <si>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</si>
  <si>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</si>
  <si>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</si>
  <si>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</si>
  <si>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</si>
  <si>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</si>
  <si>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</si>
  <si>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</si>
  <si>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</si>
  <si>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</si>
  <si>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</si>
  <si>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</si>
  <si>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</si>
  <si>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</si>
  <si>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</si>
  <si>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</si>
  <si>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</si>
  <si>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</si>
  <si>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</si>
  <si>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</si>
  <si>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</si>
  <si>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</si>
  <si>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</si>
  <si>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</si>
  <si>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</si>
  <si>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</si>
  <si>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</si>
  <si>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</si>
  <si>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</si>
  <si>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</si>
  <si>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</si>
  <si>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</si>
  <si>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</si>
  <si>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</si>
  <si>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</si>
  <si>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</si>
  <si>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</si>
  <si>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</si>
  <si>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</si>
  <si>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</si>
  <si>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</si>
  <si>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</si>
  <si>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</si>
  <si>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</si>
  <si>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</si>
  <si>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</si>
  <si>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</si>
  <si>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</si>
  <si>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</si>
  <si>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</si>
  <si>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</si>
  <si>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</si>
  <si>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</si>
  <si>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</si>
  <si>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</si>
  <si>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</si>
  <si>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</si>
  <si>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</si>
  <si>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</si>
  <si>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</si>
  <si>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</si>
  <si>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</si>
  <si>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</si>
  <si>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</si>
  <si>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</si>
  <si>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</si>
  <si>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</si>
  <si>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</si>
  <si>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</si>
  <si>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</si>
  <si>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</si>
  <si>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</si>
  <si>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</si>
  <si>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</si>
  <si>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</si>
  <si>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</si>
  <si>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</si>
  <si>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</si>
  <si>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</si>
  <si>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</si>
  <si>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</si>
  <si>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</si>
  <si>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</si>
  <si>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</si>
  <si>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</si>
  <si>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</si>
  <si>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</si>
  <si>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</si>
  <si>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</si>
  <si>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</si>
  <si>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</si>
  <si>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</si>
  <si>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</si>
  <si>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</si>
  <si>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</si>
  <si>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</si>
  <si>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</si>
  <si>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</si>
  <si>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</si>
  <si>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</si>
  <si>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</si>
  <si>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</si>
  <si>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</si>
  <si>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</si>
  <si>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</si>
  <si>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</si>
  <si>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</si>
  <si>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</si>
  <si>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</si>
  <si>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</si>
  <si>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</si>
  <si>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</si>
  <si>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</si>
  <si>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</si>
  <si>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</si>
  <si>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</si>
  <si>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</si>
  <si>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</si>
  <si>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</si>
  <si>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</si>
  <si>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</si>
  <si>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</si>
  <si>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</si>
  <si>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</si>
  <si>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</si>
  <si>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</si>
  <si>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</si>
  <si>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</si>
  <si>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</si>
  <si>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</si>
  <si>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</si>
  <si>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</si>
  <si>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</si>
  <si>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</si>
  <si>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</si>
  <si>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</si>
  <si>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</si>
  <si>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</si>
  <si>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</si>
  <si>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</si>
  <si>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</si>
  <si>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</si>
  <si>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</si>
  <si>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</si>
  <si>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</si>
  <si>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</si>
  <si>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</si>
  <si>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</si>
  <si>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</si>
  <si>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</si>
  <si>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</si>
  <si>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</si>
  <si>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</si>
  <si>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</si>
  <si>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</si>
  <si>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</si>
  <si>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</si>
  <si>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</si>
  <si>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</si>
  <si>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</si>
  <si>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</si>
  <si>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</si>
  <si>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</si>
  <si>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</si>
  <si>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</si>
  <si>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</si>
  <si>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</si>
  <si>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</si>
  <si>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</si>
  <si>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</si>
  <si>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</si>
  <si>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</si>
  <si>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</si>
  <si>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</si>
  <si>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</si>
  <si>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</si>
  <si>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</si>
  <si>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</si>
  <si>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</si>
  <si>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</si>
  <si>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</si>
  <si>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</si>
  <si>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</si>
  <si>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</si>
  <si>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</si>
  <si>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</si>
  <si>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</si>
  <si>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</si>
  <si>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</si>
  <si>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</si>
  <si>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</si>
  <si>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</si>
  <si>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</si>
  <si>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</si>
  <si>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</si>
  <si>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</si>
  <si>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</si>
  <si>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</si>
  <si>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</si>
  <si>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</si>
  <si>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</si>
  <si>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</si>
  <si>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</si>
  <si>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</si>
  <si>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</si>
  <si>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</si>
  <si>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</si>
  <si>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</si>
  <si>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</si>
  <si>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</si>
  <si>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</si>
  <si>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</si>
  <si>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</si>
  <si>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</si>
  <si>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</si>
  <si>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</si>
  <si>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</si>
  <si>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</si>
  <si>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</si>
  <si>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</si>
  <si>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</si>
  <si>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</si>
  <si>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</si>
  <si>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</si>
  <si>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</si>
  <si>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</si>
  <si>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</si>
  <si>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</si>
  <si>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</si>
  <si>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</si>
  <si>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</si>
  <si>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</si>
  <si>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</si>
  <si>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</si>
  <si>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</si>
  <si>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</si>
  <si>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</si>
  <si>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</si>
  <si>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</si>
  <si>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</si>
  <si>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</si>
  <si>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</si>
  <si>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</si>
  <si>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</si>
  <si>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</si>
  <si>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</si>
  <si>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</si>
  <si>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</si>
  <si>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</si>
  <si>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</si>
  <si>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</si>
  <si>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</si>
  <si>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</si>
  <si>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</si>
  <si>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</si>
  <si>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</si>
  <si>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</si>
  <si>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</si>
  <si>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</si>
  <si>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</si>
  <si>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</si>
  <si>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</si>
  <si>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</si>
  <si>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</si>
  <si>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</si>
  <si>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</si>
  <si>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</si>
  <si>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</si>
  <si>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</si>
  <si>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</si>
  <si>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</si>
  <si>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</si>
  <si>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</si>
  <si>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</si>
  <si>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</si>
  <si>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</si>
  <si>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</si>
  <si>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</si>
  <si>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</si>
  <si>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</si>
  <si>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</si>
  <si>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</si>
  <si>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</si>
  <si>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</si>
  <si>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</si>
  <si>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</si>
  <si>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</si>
  <si>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</si>
  <si>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</si>
  <si>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</si>
  <si>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</si>
  <si>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</si>
  <si>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</si>
  <si>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</si>
  <si>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</si>
  <si>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</si>
  <si>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</si>
  <si>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</si>
  <si>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</si>
  <si>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</si>
  <si>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</si>
  <si>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</si>
  <si>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</si>
  <si>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</si>
  <si>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</si>
  <si>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</si>
  <si>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</si>
  <si>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</si>
  <si>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</si>
  <si>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</si>
  <si>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</si>
  <si>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</si>
  <si>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</si>
  <si>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</si>
  <si>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</si>
  <si>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</si>
  <si>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</si>
  <si>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</si>
  <si>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</si>
  <si>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</si>
  <si>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</si>
  <si>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</si>
  <si>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</si>
  <si>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</si>
  <si>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</si>
  <si>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</si>
  <si>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</si>
  <si>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</si>
  <si>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</si>
  <si>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</si>
  <si>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</si>
  <si>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</si>
  <si>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</si>
  <si>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</si>
  <si>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</si>
  <si>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</si>
  <si>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</si>
  <si>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</si>
  <si>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</si>
  <si>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</si>
  <si>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</si>
  <si>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</si>
  <si>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</si>
  <si>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</si>
  <si>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</si>
  <si>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</si>
  <si>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</si>
  <si>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</si>
  <si>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</si>
  <si>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</si>
  <si>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</si>
  <si>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</si>
  <si>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</si>
  <si>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</si>
  <si>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</si>
  <si>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</si>
  <si>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</si>
  <si>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</si>
  <si>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</si>
  <si>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</si>
  <si>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</si>
  <si>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</si>
  <si>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</si>
  <si>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</si>
  <si>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</si>
  <si>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</si>
  <si>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</si>
  <si>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</si>
  <si>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</si>
  <si>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</si>
  <si>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</si>
  <si>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</si>
  <si>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</si>
  <si>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</si>
  <si>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</si>
  <si>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</si>
  <si>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</si>
  <si>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</si>
  <si>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</si>
  <si>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</si>
  <si>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</si>
  <si>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</si>
  <si>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</si>
  <si>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</si>
  <si>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</si>
  <si>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</si>
  <si>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</si>
  <si>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</si>
  <si>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</si>
  <si>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</si>
  <si>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</si>
  <si>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</si>
  <si>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</si>
  <si>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</si>
  <si>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</si>
  <si>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</si>
  <si>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</si>
  <si>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</si>
  <si>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</si>
  <si>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</si>
  <si>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</si>
  <si>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</si>
  <si>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</si>
  <si>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</si>
  <si>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</si>
  <si>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</si>
  <si>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</si>
  <si>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</si>
  <si>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</si>
  <si>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</si>
  <si>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</si>
  <si>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</si>
  <si>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</si>
  <si>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</si>
  <si>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</si>
  <si>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</si>
  <si>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</si>
  <si>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</si>
  <si>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</si>
  <si>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</si>
  <si>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</si>
  <si>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</si>
  <si>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</si>
  <si>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</si>
  <si>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</si>
  <si>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</si>
  <si>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</si>
  <si>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</si>
  <si>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</si>
  <si>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</si>
  <si>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</si>
  <si>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</si>
  <si>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</si>
  <si>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</si>
  <si>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</si>
  <si>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</si>
  <si>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</si>
  <si>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</si>
  <si>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</si>
  <si>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</si>
  <si>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</si>
  <si>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</si>
  <si>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</si>
  <si>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</si>
  <si>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</si>
  <si>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</si>
  <si>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</si>
  <si>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</si>
  <si>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</si>
  <si>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</si>
  <si>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</si>
  <si>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</si>
  <si>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</si>
  <si>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</si>
  <si>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</si>
  <si>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</si>
  <si>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</si>
  <si>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</si>
  <si>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</si>
  <si>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</si>
  <si>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</si>
  <si>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</si>
  <si>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</si>
  <si>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</si>
  <si>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</si>
  <si>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</si>
  <si>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</si>
  <si>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</si>
  <si>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</si>
  <si>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</si>
  <si>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</si>
  <si>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</si>
  <si>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</si>
  <si>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</si>
  <si>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</si>
  <si>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</si>
  <si>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</si>
  <si>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</si>
  <si>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</si>
  <si>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</si>
  <si>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</si>
  <si>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</si>
  <si>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</si>
  <si>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</si>
  <si>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</si>
  <si>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</si>
  <si>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</si>
  <si>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</si>
  <si>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</si>
  <si>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</si>
  <si>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</si>
  <si>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</si>
  <si>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</si>
  <si>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</si>
  <si>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</si>
  <si>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</si>
  <si>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</si>
  <si>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</si>
  <si>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</si>
  <si>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</si>
  <si>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</si>
  <si>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</si>
  <si>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</si>
  <si>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</si>
  <si>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</si>
  <si>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</si>
  <si>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</si>
  <si>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</si>
  <si>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</si>
  <si>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</si>
  <si>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</si>
  <si>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</si>
  <si>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</si>
  <si>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</si>
  <si>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</si>
  <si>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</si>
  <si>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</si>
  <si>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</si>
  <si>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</si>
  <si>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</si>
  <si>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</si>
  <si>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</si>
  <si>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</si>
  <si>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</si>
  <si>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</si>
  <si>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</si>
  <si>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</si>
  <si>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</si>
  <si>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</si>
  <si>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</si>
  <si>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</si>
  <si>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</si>
  <si>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</si>
  <si>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</si>
  <si>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</si>
  <si>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</si>
  <si>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</si>
  <si>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</si>
  <si>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</si>
  <si>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</si>
  <si>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</si>
  <si>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</si>
  <si>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</si>
  <si>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</si>
  <si>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</si>
  <si>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</si>
  <si>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</si>
  <si>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</si>
  <si>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</si>
  <si>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</si>
  <si>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</si>
  <si>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</si>
  <si>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</si>
  <si>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</si>
  <si>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</si>
  <si>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</si>
  <si>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</si>
  <si>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</si>
  <si>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</si>
  <si>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</si>
  <si>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</si>
  <si>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</si>
  <si>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</si>
  <si>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</si>
  <si>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</si>
  <si>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</si>
  <si>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</si>
  <si>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</si>
  <si>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</si>
  <si>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</si>
  <si>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</si>
  <si>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</si>
  <si>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</si>
  <si>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</si>
  <si>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</si>
  <si>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</si>
  <si>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</si>
  <si>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</si>
  <si>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</si>
  <si>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</si>
  <si>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</si>
  <si>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</si>
  <si>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</si>
  <si>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</si>
  <si>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</si>
  <si>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</si>
  <si>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</si>
  <si>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</si>
  <si>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</si>
  <si>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</si>
  <si>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</si>
  <si>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</si>
  <si>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</si>
  <si>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</si>
  <si>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</si>
  <si>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</si>
  <si>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</si>
  <si>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</si>
  <si>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</si>
  <si>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</si>
  <si>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</si>
  <si>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</si>
  <si>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</si>
  <si>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</si>
  <si>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</si>
  <si>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</si>
  <si>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</si>
  <si>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</si>
  <si>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</si>
  <si>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</si>
  <si>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</si>
  <si>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</si>
  <si>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</si>
  <si>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</si>
  <si>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</si>
  <si>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</si>
  <si>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</si>
  <si>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</si>
  <si>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</si>
  <si>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</si>
  <si>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</si>
  <si>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</si>
  <si>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</si>
  <si>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</si>
  <si>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</si>
  <si>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</si>
  <si>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</si>
  <si>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</si>
  <si>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</si>
  <si>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</si>
  <si>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</si>
  <si>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</si>
  <si>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</si>
  <si>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</si>
  <si>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</si>
  <si>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</si>
  <si>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</si>
  <si>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</si>
  <si>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</si>
  <si>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</si>
  <si>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</si>
  <si>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</si>
  <si>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</si>
  <si>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</si>
  <si>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</si>
  <si>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</si>
  <si>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</si>
  <si>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</si>
  <si>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</si>
  <si>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</si>
  <si>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</si>
  <si>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</si>
  <si>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</si>
  <si>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</si>
  <si>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</si>
  <si>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</si>
  <si>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</si>
  <si>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</si>
  <si>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</si>
  <si>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</si>
  <si>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</si>
  <si>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</si>
  <si>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</si>
  <si>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</si>
  <si>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</si>
  <si>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</si>
  <si>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</si>
  <si>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</si>
  <si>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</si>
  <si>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</si>
  <si>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</si>
  <si>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</si>
  <si>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</si>
  <si>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</si>
  <si>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</si>
  <si>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</si>
  <si>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</si>
  <si>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</si>
  <si>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</si>
  <si>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</si>
  <si>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</si>
  <si>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</si>
  <si>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</si>
  <si>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</si>
  <si>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</si>
  <si>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</si>
  <si>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</si>
  <si>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</si>
  <si>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</si>
  <si>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</si>
  <si>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</si>
  <si>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</si>
  <si>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</si>
  <si>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</si>
  <si>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</si>
  <si>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</si>
  <si>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</si>
  <si>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</si>
  <si>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</si>
  <si>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</si>
  <si>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</si>
  <si>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</si>
  <si>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</si>
  <si>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</si>
  <si>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</si>
  <si>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</si>
  <si>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</si>
  <si>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</si>
  <si>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</si>
  <si>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</si>
  <si>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</si>
  <si>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</si>
  <si>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</si>
  <si>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</si>
  <si>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</si>
  <si>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</si>
  <si>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</si>
  <si>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</si>
  <si>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</si>
  <si>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</si>
  <si>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</si>
  <si>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</si>
  <si>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</si>
  <si>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</si>
  <si>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</si>
  <si>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</si>
  <si>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</si>
  <si>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</si>
  <si>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</si>
  <si>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</si>
  <si>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</si>
  <si>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</si>
  <si>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</si>
  <si>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</si>
  <si>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</si>
  <si>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</si>
  <si>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</si>
  <si>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</si>
  <si>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</si>
  <si>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</si>
  <si>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</si>
  <si>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</si>
  <si>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</si>
  <si>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</si>
  <si>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</si>
  <si>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</si>
  <si>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</si>
  <si>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</si>
  <si>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</si>
  <si>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</si>
  <si>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</si>
  <si>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</si>
  <si>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</si>
  <si>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</si>
  <si>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</si>
  <si>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</si>
  <si>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</si>
  <si>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</si>
  <si>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</si>
  <si>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</si>
  <si>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</si>
  <si>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</si>
  <si>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</si>
  <si>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</si>
  <si>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</si>
  <si>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</si>
  <si>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</si>
  <si>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</si>
  <si>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</si>
  <si>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</si>
  <si>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</si>
  <si>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</si>
  <si>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</si>
  <si>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</si>
  <si>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</si>
  <si>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</si>
  <si>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</si>
  <si>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</si>
  <si>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</si>
  <si>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</si>
  <si>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</si>
  <si>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</si>
  <si>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</si>
  <si>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</si>
  <si>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</si>
  <si>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</si>
  <si>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</si>
  <si>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</si>
  <si>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</si>
  <si>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</si>
  <si>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</si>
  <si>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</si>
  <si>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</si>
  <si>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</si>
  <si>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</si>
  <si>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</si>
  <si>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</si>
  <si>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</si>
  <si>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</si>
  <si>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</si>
  <si>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</si>
  <si>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</si>
  <si>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</si>
  <si>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</si>
  <si>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</si>
  <si>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</si>
  <si>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</si>
  <si>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</si>
  <si>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</si>
  <si>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</si>
  <si>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</si>
  <si>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</si>
  <si>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</si>
  <si>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</si>
  <si>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</si>
  <si>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</si>
  <si>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</si>
  <si>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</si>
  <si>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</si>
  <si>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</si>
  <si>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</si>
  <si>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</si>
  <si>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</si>
  <si>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</si>
  <si>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</si>
  <si>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</si>
  <si>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</si>
  <si>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</si>
  <si>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</si>
  <si>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</si>
  <si>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</si>
  <si>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</si>
  <si>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</si>
  <si>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</si>
  <si>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</si>
  <si>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</si>
  <si>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</si>
  <si>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</si>
  <si>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</si>
  <si>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</si>
  <si>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</si>
  <si>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</si>
  <si>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</si>
  <si>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</si>
  <si>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</si>
  <si>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</si>
  <si>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</si>
  <si>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</si>
  <si>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</si>
  <si>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</si>
  <si>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</si>
  <si>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</si>
  <si>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</si>
  <si>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</si>
  <si>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</si>
  <si>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</si>
  <si>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</si>
  <si>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</si>
  <si>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</si>
  <si>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</si>
  <si>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</si>
  <si>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</si>
  <si>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</si>
  <si>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</si>
  <si>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</si>
  <si>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</si>
  <si>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</si>
  <si>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</si>
  <si>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</si>
  <si>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</si>
  <si>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</si>
  <si>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</si>
  <si>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</si>
  <si>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</si>
  <si>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</si>
  <si>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</si>
  <si>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</si>
  <si>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</si>
  <si>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</si>
  <si>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</si>
  <si>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</si>
  <si>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</si>
  <si>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</si>
  <si>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</si>
  <si>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</si>
  <si>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</si>
  <si>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</si>
  <si>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</si>
  <si>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</si>
  <si>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</si>
  <si>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</si>
  <si>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</si>
  <si>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</si>
  <si>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</si>
  <si>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</si>
  <si>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</si>
  <si>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</si>
  <si>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</si>
  <si>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</si>
  <si>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</si>
  <si>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</si>
  <si>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</si>
  <si>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</si>
  <si>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</si>
  <si>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</si>
  <si>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</si>
  <si>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</si>
  <si>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</si>
  <si>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</si>
  <si>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</si>
  <si>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</si>
  <si>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</si>
  <si>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</si>
  <si>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</si>
  <si>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</si>
  <si>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</si>
  <si>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</si>
  <si>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</si>
  <si>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</si>
  <si>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</si>
  <si>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</si>
  <si>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</si>
  <si>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</si>
  <si>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</si>
  <si>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</si>
  <si>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</si>
  <si>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</si>
  <si>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</si>
  <si>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</si>
  <si>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</si>
  <si>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</si>
  <si>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</si>
  <si>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</si>
  <si>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</si>
  <si>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</si>
  <si>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</si>
  <si>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</si>
  <si>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</si>
  <si>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</si>
  <si>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</si>
  <si>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</si>
  <si>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</si>
  <si>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</si>
  <si>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</si>
  <si>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</si>
  <si>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</si>
  <si>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</si>
  <si>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</si>
  <si>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</si>
  <si>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</si>
  <si>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</si>
  <si>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</si>
  <si>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</si>
  <si>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</si>
  <si>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</si>
  <si>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</si>
  <si>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</si>
  <si>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</si>
  <si>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</si>
  <si>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</si>
  <si>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</si>
  <si>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</si>
  <si>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</si>
  <si>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</si>
  <si>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</si>
  <si>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</si>
  <si>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</si>
  <si>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</si>
  <si>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</si>
  <si>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</si>
  <si>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</si>
  <si>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</si>
  <si>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</si>
  <si>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</si>
  <si>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</si>
  <si>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</si>
  <si>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</si>
  <si>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</si>
  <si>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</si>
  <si>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</si>
  <si>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</si>
  <si>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</si>
  <si>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</si>
  <si>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</si>
  <si>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</si>
  <si>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</si>
  <si>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</si>
  <si>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</si>
  <si>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</si>
  <si>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</si>
  <si>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</si>
  <si>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</si>
  <si>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</si>
  <si>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</si>
  <si>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</si>
  <si>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</si>
  <si>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</si>
  <si>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</si>
  <si>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</si>
  <si>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</si>
  <si>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</si>
  <si>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</si>
  <si>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</si>
  <si>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</si>
  <si>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</si>
  <si>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</si>
  <si>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</si>
  <si>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</si>
  <si>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</si>
  <si>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</si>
  <si>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</si>
  <si>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</si>
  <si>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</si>
  <si>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</si>
  <si>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</si>
  <si>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</si>
  <si>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</si>
  <si>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</si>
  <si>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</si>
  <si>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</si>
  <si>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</si>
  <si>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</si>
  <si>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</si>
  <si>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</si>
  <si>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</si>
  <si>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</si>
  <si>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</si>
  <si>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</si>
  <si>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</si>
  <si>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</si>
  <si>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</si>
  <si>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</si>
  <si>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</si>
  <si>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</si>
  <si>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</si>
  <si>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</si>
  <si>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</si>
  <si>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</si>
  <si>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</si>
  <si>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</si>
  <si>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</si>
  <si>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</si>
  <si>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</si>
  <si>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</si>
  <si>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</si>
  <si>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</si>
  <si>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</si>
  <si>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</si>
  <si>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</si>
  <si>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</si>
  <si>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</si>
  <si>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</si>
  <si>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</si>
  <si>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</si>
  <si>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</si>
  <si>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</si>
  <si>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</si>
  <si>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</si>
  <si>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</si>
  <si>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</si>
  <si>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</si>
  <si>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</si>
  <si>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</si>
  <si>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</si>
  <si>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</si>
  <si>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</si>
  <si>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</si>
  <si>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</si>
  <si>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</si>
  <si>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</si>
  <si>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</si>
  <si>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</si>
  <si>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</si>
  <si>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</si>
  <si>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</si>
  <si>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</si>
  <si>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</si>
  <si>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</si>
  <si>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</si>
  <si>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</si>
  <si>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</si>
  <si>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</si>
  <si>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</si>
  <si>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</si>
  <si>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</si>
  <si>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</si>
  <si>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</si>
  <si>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</si>
  <si>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</si>
  <si>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</si>
  <si>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</si>
  <si>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</si>
  <si>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</si>
  <si>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</si>
  <si>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</si>
  <si>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</si>
  <si>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</si>
  <si>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</si>
  <si>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</si>
  <si>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</si>
  <si>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</si>
  <si>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</si>
  <si>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</si>
  <si>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</si>
  <si>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</si>
  <si>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</si>
  <si>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</si>
  <si>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</si>
  <si>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</si>
  <si>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</si>
  <si>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</si>
  <si>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</si>
  <si>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</si>
  <si>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</si>
  <si>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</si>
  <si>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</si>
  <si>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</si>
  <si>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</si>
  <si>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</si>
  <si>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</si>
  <si>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</si>
  <si>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</si>
  <si>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</si>
  <si>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</si>
  <si>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</si>
  <si>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</si>
  <si>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</si>
  <si>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</si>
  <si>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</si>
  <si>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</si>
  <si>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</si>
  <si>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</si>
  <si>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</si>
  <si>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</si>
  <si>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</si>
  <si>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</si>
  <si>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</si>
  <si>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</si>
  <si>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</si>
  <si>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</si>
  <si>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</si>
  <si>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</si>
  <si>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</si>
  <si>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</si>
  <si>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</si>
  <si>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</si>
  <si>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</si>
  <si>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</si>
  <si>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</si>
  <si>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</si>
  <si>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</si>
  <si>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</si>
  <si>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</si>
  <si>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</si>
  <si>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</si>
  <si>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</si>
  <si>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</si>
  <si>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</si>
  <si>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</si>
  <si>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</si>
  <si>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</si>
  <si>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</si>
  <si>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</si>
  <si>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</si>
  <si>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</si>
  <si>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</si>
  <si>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</si>
  <si>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</si>
  <si>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</si>
  <si>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</si>
  <si>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</si>
  <si>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</si>
  <si>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</si>
  <si>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</si>
  <si>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</si>
  <si>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</si>
  <si>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</si>
  <si>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</si>
  <si>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</si>
  <si>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</si>
  <si>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</si>
  <si>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</si>
  <si>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</si>
  <si>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</si>
  <si>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</si>
  <si>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</si>
  <si>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</si>
  <si>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</si>
  <si>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</si>
  <si>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</si>
  <si>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</si>
  <si>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</si>
  <si>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</si>
  <si>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</si>
  <si>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</si>
  <si>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</si>
  <si>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</si>
  <si>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</si>
  <si>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</si>
  <si>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</si>
  <si>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</si>
  <si>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</si>
  <si>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</si>
  <si>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</si>
  <si>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</si>
  <si>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</si>
  <si>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</si>
  <si>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</si>
  <si>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</si>
  <si>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</si>
  <si>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</si>
  <si>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</si>
  <si>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</si>
  <si>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</si>
  <si>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</si>
  <si>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</si>
  <si>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</si>
  <si>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</si>
  <si>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</si>
  <si>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</si>
  <si>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</si>
  <si>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</si>
  <si>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</si>
  <si>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</si>
  <si>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</si>
  <si>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</si>
  <si>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</si>
  <si>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</si>
  <si>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</si>
  <si>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</si>
  <si>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</si>
  <si>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</si>
  <si>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</si>
  <si>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</si>
  <si>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</si>
  <si>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</si>
  <si>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</si>
  <si>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</si>
  <si>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</si>
  <si>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</si>
  <si>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</si>
  <si>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</si>
  <si>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</si>
  <si>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</si>
  <si>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</si>
  <si>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</si>
  <si>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</si>
  <si>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</si>
  <si>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</si>
  <si>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</si>
  <si>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</si>
  <si>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</si>
  <si>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</si>
  <si>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</si>
  <si>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</si>
  <si>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</si>
  <si>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</si>
  <si>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</si>
  <si>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</si>
  <si>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</si>
  <si>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</si>
  <si>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</si>
  <si>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</si>
  <si>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</si>
  <si>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</si>
  <si>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</si>
  <si>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</si>
  <si>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</si>
  <si>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</si>
  <si>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</si>
  <si>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</si>
  <si>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</si>
  <si>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</si>
  <si>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</si>
  <si>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</si>
  <si>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</si>
  <si>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</si>
  <si>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</si>
  <si>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</si>
  <si>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</si>
  <si>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</si>
  <si>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</si>
  <si>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</si>
  <si>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</si>
  <si>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</si>
  <si>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</si>
  <si>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</si>
  <si>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</si>
  <si>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</si>
  <si>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</si>
  <si>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</si>
  <si>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</si>
  <si>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</si>
  <si>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</si>
  <si>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</si>
  <si>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</si>
  <si>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</si>
  <si>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</si>
  <si>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</si>
  <si>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</si>
  <si>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</si>
  <si>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</si>
  <si>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</si>
  <si>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</si>
  <si>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</si>
  <si>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</si>
  <si>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</si>
  <si>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</si>
  <si>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</si>
  <si>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</si>
  <si>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</si>
  <si>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</si>
  <si>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</si>
  <si>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</si>
  <si>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</si>
  <si>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</si>
  <si>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</si>
  <si>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</si>
  <si>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</si>
  <si>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</si>
  <si>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</si>
  <si>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</si>
  <si>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</si>
  <si>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</si>
  <si>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</si>
  <si>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</si>
  <si>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</si>
  <si>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</si>
  <si>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</si>
  <si>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</si>
  <si>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</si>
  <si>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</si>
  <si>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</si>
  <si>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</si>
  <si>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</si>
  <si>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</si>
  <si>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</si>
  <si>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</si>
  <si>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</si>
  <si>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</si>
  <si>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</si>
  <si>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</si>
  <si>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</si>
  <si>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</si>
  <si>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</si>
  <si>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</si>
  <si>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</si>
  <si>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</si>
  <si>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</si>
  <si>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</si>
  <si>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</si>
  <si>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</si>
  <si>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</si>
  <si>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</si>
  <si>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</si>
  <si>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</si>
  <si>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</si>
  <si>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</si>
  <si>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</si>
  <si>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</si>
  <si>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</si>
  <si>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</si>
  <si>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</si>
  <si>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</si>
  <si>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</si>
  <si>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</si>
  <si>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</si>
  <si>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</si>
  <si>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</si>
  <si>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</si>
  <si>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</si>
  <si>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</si>
  <si>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</si>
  <si>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</si>
  <si>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</si>
  <si>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</si>
  <si>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</si>
  <si>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</si>
  <si>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</si>
  <si>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</si>
  <si>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</si>
  <si>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</si>
  <si>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</si>
  <si>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</si>
  <si>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</si>
  <si>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</si>
  <si>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</si>
  <si>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</si>
  <si>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</si>
  <si>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</si>
  <si>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</si>
  <si>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</si>
  <si>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</si>
  <si>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</si>
  <si>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</si>
  <si>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</si>
  <si>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</si>
  <si>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</si>
  <si>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</si>
  <si>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</si>
  <si>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</si>
  <si>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</si>
  <si>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</si>
  <si>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</si>
  <si>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</si>
  <si>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</si>
  <si>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</si>
  <si>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</si>
  <si>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</si>
  <si>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</si>
  <si>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</si>
  <si>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</si>
  <si>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</si>
  <si>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</si>
  <si>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</si>
  <si>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</si>
  <si>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</si>
  <si>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</si>
  <si>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</si>
  <si>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</si>
  <si>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</si>
  <si>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</si>
  <si>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</si>
  <si>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</si>
  <si>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</si>
  <si>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</si>
  <si>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</si>
  <si>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</si>
  <si>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</si>
  <si>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</si>
  <si>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</si>
  <si>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</si>
  <si>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</si>
  <si>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</si>
  <si>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</si>
  <si>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</si>
  <si>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</si>
  <si>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</si>
  <si>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</si>
  <si>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</si>
  <si>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</si>
  <si>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</si>
  <si>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</si>
  <si>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</si>
  <si>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</si>
  <si>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</si>
  <si>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</si>
  <si>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</si>
  <si>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</si>
  <si>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</si>
  <si>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</si>
  <si>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</si>
  <si>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</si>
  <si>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</si>
  <si>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</si>
  <si>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</si>
  <si>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</si>
  <si>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</si>
  <si>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</si>
  <si>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</si>
  <si>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</si>
  <si>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</si>
  <si>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</si>
  <si>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</si>
  <si>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</si>
  <si>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</si>
  <si>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</si>
  <si>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</si>
  <si>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</si>
  <si>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</si>
  <si>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</si>
  <si>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</si>
  <si>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</si>
  <si>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</si>
  <si>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</si>
  <si>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</si>
  <si>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</si>
  <si>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</si>
  <si>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</si>
  <si>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</si>
  <si>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</si>
  <si>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</si>
  <si>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</si>
  <si>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</si>
  <si>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</si>
  <si>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</si>
  <si>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</si>
  <si>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</si>
  <si>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</si>
  <si>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</si>
  <si>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</si>
  <si>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</si>
  <si>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</si>
  <si>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</si>
  <si>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</si>
  <si>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</si>
  <si>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</si>
  <si>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</si>
  <si>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</si>
  <si>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</si>
  <si>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</si>
  <si>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</si>
  <si>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</si>
  <si>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</si>
  <si>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</si>
  <si>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</si>
  <si>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</si>
  <si>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</si>
  <si>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</si>
  <si>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</si>
  <si>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</si>
  <si>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</si>
  <si>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</si>
  <si>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</si>
  <si>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</si>
  <si>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</si>
  <si>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</si>
  <si>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</si>
  <si>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</si>
  <si>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</si>
  <si>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</si>
  <si>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</si>
  <si>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</si>
  <si>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</si>
  <si>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</si>
  <si>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</si>
  <si>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</si>
  <si>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</si>
  <si>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</si>
  <si>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</si>
  <si>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</si>
  <si>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</si>
  <si>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</si>
  <si>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</si>
  <si>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</si>
  <si>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</si>
  <si>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</si>
  <si>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</si>
  <si>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</si>
  <si>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</si>
  <si>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</si>
  <si>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</si>
  <si>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</si>
  <si>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</si>
  <si>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</si>
  <si>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</si>
  <si>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</si>
  <si>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</si>
  <si>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</si>
  <si>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</si>
  <si>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</si>
  <si>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</si>
  <si>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</si>
  <si>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</si>
  <si>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</si>
  <si>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</si>
  <si>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</si>
  <si>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</si>
  <si>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</si>
  <si>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</si>
  <si>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</si>
  <si>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</si>
  <si>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</si>
  <si>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</si>
  <si>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</si>
  <si>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</si>
  <si>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</si>
  <si>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</si>
  <si>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</si>
  <si>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</si>
  <si>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</si>
  <si>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</si>
  <si>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</si>
  <si>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</si>
  <si>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</si>
  <si>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</si>
  <si>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</si>
  <si>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</si>
  <si>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</si>
  <si>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</si>
  <si>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</si>
  <si>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</si>
  <si>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</si>
  <si>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</si>
  <si>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</si>
  <si>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</si>
  <si>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</si>
  <si>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</si>
  <si>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</si>
  <si>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</si>
  <si>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</si>
  <si>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</si>
  <si>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</si>
  <si>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</si>
  <si>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</si>
  <si>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</si>
  <si>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</si>
  <si>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</si>
  <si>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</si>
  <si>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</si>
  <si>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</si>
  <si>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</si>
  <si>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</si>
  <si>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</si>
  <si>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</si>
  <si>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</si>
  <si>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</si>
  <si>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</si>
  <si>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</si>
  <si>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</si>
  <si>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</si>
  <si>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</si>
  <si>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</si>
  <si>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</si>
  <si>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</si>
  <si>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</si>
  <si>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</si>
  <si>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</si>
  <si>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</si>
  <si>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</si>
  <si>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</si>
  <si>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</si>
  <si>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</si>
  <si>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</si>
  <si>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</si>
  <si>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</si>
  <si>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</si>
  <si>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</si>
  <si>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</si>
  <si>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</si>
  <si>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</si>
  <si>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</si>
  <si>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</si>
  <si>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</si>
  <si>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</si>
  <si>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</si>
  <si>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</si>
  <si>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</si>
  <si>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</si>
  <si>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</si>
  <si>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</si>
  <si>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</si>
  <si>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</si>
  <si>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</si>
  <si>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</si>
  <si>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</si>
  <si>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</si>
  <si>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</si>
  <si>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</si>
  <si>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</si>
  <si>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</si>
  <si>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</si>
  <si>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</si>
  <si>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</si>
  <si>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</si>
  <si>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</si>
  <si>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</si>
  <si>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</si>
  <si>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</si>
  <si>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</si>
  <si>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</si>
  <si>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</si>
  <si>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</si>
  <si>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</si>
  <si>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</si>
  <si>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</si>
  <si>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</si>
  <si>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</si>
  <si>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</si>
  <si>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</si>
  <si>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</si>
  <si>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</si>
  <si>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</si>
  <si>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</si>
  <si>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</si>
  <si>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</si>
  <si>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</si>
  <si>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</si>
  <si>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</si>
  <si>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</si>
  <si>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</si>
  <si>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</si>
  <si>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</si>
  <si>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</si>
  <si>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</si>
  <si>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</si>
  <si>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</si>
  <si>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</si>
  <si>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</si>
  <si>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</si>
  <si>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</si>
  <si>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</si>
  <si>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</si>
  <si>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</si>
  <si>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</si>
  <si>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</si>
  <si>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</si>
  <si>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</si>
  <si>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</si>
  <si>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</si>
  <si>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</si>
  <si>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</si>
  <si>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</si>
  <si>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</si>
  <si>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</si>
  <si>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</si>
  <si>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</si>
  <si>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</si>
  <si>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</si>
  <si>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</si>
  <si>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</si>
  <si>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</si>
  <si>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</si>
  <si>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</si>
  <si>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</si>
  <si>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</si>
  <si>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</si>
  <si>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</si>
  <si>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</si>
  <si>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</si>
  <si>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</si>
  <si>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</si>
  <si>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</si>
  <si>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</si>
  <si>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</si>
  <si>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</si>
  <si>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</si>
  <si>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</si>
  <si>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</si>
  <si>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</si>
  <si>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</si>
  <si>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</si>
  <si>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</si>
  <si>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</si>
  <si>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</si>
  <si>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</si>
  <si>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</si>
  <si>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</si>
  <si>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</si>
  <si>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</si>
  <si>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</si>
  <si>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</si>
  <si>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</si>
  <si>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</si>
  <si>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</si>
  <si>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</si>
  <si>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</si>
  <si>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</si>
  <si>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</si>
  <si>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</si>
  <si>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</si>
  <si>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</si>
  <si>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</si>
  <si>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</si>
  <si>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</si>
  <si>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</si>
  <si>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</si>
  <si>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</si>
  <si>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</si>
  <si>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</si>
  <si>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</si>
  <si>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</si>
  <si>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</si>
  <si>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</si>
  <si>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</si>
  <si>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</si>
  <si>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</si>
  <si>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</si>
  <si>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</si>
  <si>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</si>
  <si>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</si>
  <si>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</si>
  <si>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</si>
  <si>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</si>
  <si>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</si>
  <si>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</si>
  <si>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</si>
  <si>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</si>
  <si>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</si>
  <si>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</si>
  <si>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</si>
  <si>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</si>
  <si>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</si>
  <si>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</si>
  <si>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</si>
  <si>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</si>
  <si>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</si>
  <si>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</si>
  <si>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</si>
  <si>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</si>
  <si>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</si>
  <si>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</si>
  <si>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</si>
  <si>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</si>
  <si>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</si>
  <si>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</si>
  <si>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</si>
  <si>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</si>
  <si>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</si>
  <si>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</si>
  <si>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</si>
  <si>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</si>
  <si>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</si>
  <si>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</si>
  <si>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</si>
  <si>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</si>
  <si>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</si>
  <si>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</si>
  <si>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</si>
  <si>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</si>
  <si>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</si>
  <si>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</si>
  <si>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</si>
  <si>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</si>
  <si>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</si>
  <si>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</si>
  <si>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</si>
  <si>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</si>
  <si>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</si>
  <si>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</si>
  <si>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</si>
  <si>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</si>
  <si>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</si>
  <si>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</si>
  <si>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</si>
  <si>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</si>
  <si>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</si>
  <si>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</si>
  <si>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</si>
  <si>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</si>
  <si>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</si>
  <si>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</si>
  <si>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</si>
  <si>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</si>
  <si>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</si>
  <si>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</si>
  <si>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</si>
  <si>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</si>
  <si>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</si>
  <si>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</si>
  <si>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</si>
  <si>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</si>
  <si>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</si>
  <si>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</si>
  <si>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</si>
  <si>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</si>
  <si>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</si>
  <si>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</si>
  <si>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</si>
  <si>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</si>
  <si>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</si>
  <si>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</si>
  <si>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</si>
  <si>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</si>
  <si>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</si>
  <si>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</si>
  <si>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</si>
  <si>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</si>
  <si>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</si>
  <si>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</si>
  <si>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</si>
  <si>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</si>
  <si>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</si>
  <si>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</si>
  <si>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</si>
  <si>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</si>
  <si>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</si>
  <si>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</si>
  <si>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</si>
  <si>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</si>
  <si>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</si>
  <si>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</si>
  <si>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</si>
  <si>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</si>
  <si>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</si>
  <si>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</si>
  <si>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</si>
  <si>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</si>
  <si>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</si>
  <si>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</si>
  <si>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</si>
  <si>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</si>
  <si>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</si>
  <si>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</si>
  <si>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</si>
  <si>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</si>
  <si>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</si>
  <si>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</si>
  <si>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</si>
  <si>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</si>
  <si>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</si>
  <si>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</si>
  <si>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</si>
  <si>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</si>
  <si>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</si>
  <si>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</si>
  <si>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</si>
  <si>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</si>
  <si>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</si>
  <si>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</si>
  <si>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</si>
  <si>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</si>
  <si>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</si>
  <si>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</si>
  <si>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</si>
  <si>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</si>
  <si>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</si>
  <si>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</si>
  <si>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</si>
  <si>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</si>
  <si>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</si>
  <si>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</si>
  <si>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</si>
  <si>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</si>
  <si>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</si>
  <si>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</si>
  <si>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</si>
  <si>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</si>
  <si>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</si>
  <si>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</si>
  <si>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</si>
  <si>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</si>
  <si>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</si>
  <si>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</si>
  <si>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</si>
  <si>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</si>
  <si>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</si>
  <si>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</si>
  <si>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</si>
  <si>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</si>
  <si>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</si>
  <si>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</si>
  <si>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</si>
  <si>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</si>
  <si>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</si>
  <si>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</si>
  <si>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</si>
  <si>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</si>
  <si>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</si>
  <si>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</si>
  <si>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</si>
  <si>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</si>
  <si>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</si>
  <si>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</si>
  <si>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</si>
  <si>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</si>
  <si>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</si>
  <si>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</si>
  <si>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</si>
  <si>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</si>
  <si>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</si>
  <si>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</si>
  <si>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</si>
  <si>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</si>
  <si>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</si>
  <si>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</si>
  <si>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</si>
  <si>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</si>
  <si>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</si>
  <si>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</si>
  <si>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</si>
  <si>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</si>
  <si>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</si>
  <si>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</si>
  <si>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</si>
  <si>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</si>
  <si>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</si>
  <si>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</si>
  <si>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</si>
  <si>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</si>
  <si>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</si>
  <si>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</si>
  <si>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</si>
  <si>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</si>
  <si>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</si>
  <si>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</si>
  <si>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</si>
  <si>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</si>
  <si>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</si>
  <si>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</si>
  <si>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</si>
  <si>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</si>
  <si>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</si>
  <si>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</si>
  <si>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</si>
  <si>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</si>
  <si>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</si>
  <si>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</si>
  <si>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</si>
  <si>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</si>
  <si>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</si>
  <si>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</si>
  <si>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</si>
  <si>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</si>
  <si>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</si>
  <si>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</si>
  <si>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</si>
  <si>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</si>
  <si>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</si>
  <si>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</si>
  <si>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</si>
  <si>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</si>
  <si>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</si>
  <si>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</si>
  <si>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</si>
  <si>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</si>
  <si>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</si>
  <si>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</si>
  <si>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</si>
  <si>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</si>
  <si>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</si>
  <si>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</si>
  <si>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</si>
  <si>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</si>
  <si>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</si>
  <si>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</si>
  <si>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</si>
  <si>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</si>
  <si>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</si>
  <si>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</si>
  <si>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</si>
  <si>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</si>
  <si>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</si>
  <si>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</si>
  <si>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</si>
  <si>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</si>
  <si>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</si>
  <si>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</si>
  <si>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</si>
  <si>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</si>
  <si>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</si>
  <si>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</si>
  <si>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</si>
  <si>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</si>
  <si>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</si>
  <si>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</si>
  <si>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</si>
  <si>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</si>
  <si>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</si>
  <si>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</si>
  <si>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</si>
  <si>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</si>
  <si>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</si>
  <si>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</si>
  <si>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</si>
  <si>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</si>
  <si>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</si>
  <si>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</si>
  <si>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</si>
  <si>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</si>
  <si>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</si>
  <si>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</si>
  <si>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</si>
  <si>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</si>
  <si>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</si>
  <si>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</si>
  <si>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</si>
  <si>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</si>
  <si>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</si>
  <si>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</si>
  <si>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</si>
  <si>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</si>
  <si>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</si>
  <si>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</si>
  <si>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</si>
  <si>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</si>
  <si>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</si>
  <si>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</si>
  <si>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</si>
  <si>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</si>
  <si>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</si>
  <si>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</si>
  <si>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</si>
  <si>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</si>
  <si>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</si>
  <si>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</si>
  <si>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</si>
  <si>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</si>
  <si>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</si>
  <si>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</si>
  <si>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</si>
  <si>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</si>
  <si>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</si>
  <si>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</si>
  <si>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</si>
  <si>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</si>
  <si>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</si>
  <si>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</si>
  <si>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</si>
  <si>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</si>
  <si>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</si>
  <si>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</si>
  <si>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</si>
  <si>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</si>
  <si>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</si>
  <si>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</si>
  <si>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</si>
  <si>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</si>
  <si>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</si>
  <si>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</si>
  <si>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</si>
  <si>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</si>
  <si>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</si>
  <si>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</si>
  <si>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</si>
  <si>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</si>
  <si>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</si>
  <si>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</si>
  <si>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</si>
  <si>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</si>
  <si>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</si>
  <si>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</si>
  <si>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</si>
  <si>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</si>
  <si>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</si>
  <si>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</si>
  <si>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</si>
  <si>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</si>
  <si>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</si>
  <si>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</si>
  <si>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</si>
  <si>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</si>
  <si>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</si>
  <si>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</si>
  <si>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</si>
  <si>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</si>
  <si>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</si>
  <si>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</si>
  <si>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</si>
  <si>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</si>
  <si>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</si>
  <si>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</si>
  <si>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</si>
  <si>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</si>
  <si>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</si>
  <si>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</si>
  <si>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</si>
  <si>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</si>
  <si>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</si>
  <si>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</si>
  <si>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</si>
  <si>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</si>
  <si>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</si>
  <si>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</si>
  <si>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</si>
  <si>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</si>
  <si>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</si>
  <si>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</si>
  <si>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</si>
  <si>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</si>
  <si>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</si>
  <si>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</si>
  <si>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</si>
  <si>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</si>
  <si>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</si>
  <si>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</si>
  <si>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</si>
  <si>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</si>
  <si>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</si>
  <si>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</si>
  <si>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</si>
  <si>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</si>
  <si>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</si>
  <si>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</si>
  <si>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</si>
  <si>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</si>
  <si>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</si>
  <si>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</si>
  <si>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</si>
  <si>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</si>
  <si>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</si>
  <si>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</si>
  <si>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</si>
  <si>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</si>
  <si>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</si>
  <si>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</si>
  <si>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</si>
  <si>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</si>
  <si>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</si>
  <si>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</si>
  <si>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</si>
  <si>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</si>
  <si>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</si>
  <si>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</si>
  <si>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</si>
  <si>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</si>
  <si>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</si>
  <si>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</si>
  <si>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</si>
  <si>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</si>
  <si>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</si>
  <si>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</si>
  <si>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</si>
  <si>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</si>
  <si>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</si>
  <si>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</si>
  <si>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</si>
  <si>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</si>
  <si>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</si>
  <si>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</si>
  <si>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</si>
  <si>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</si>
  <si>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</si>
  <si>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</si>
  <si>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</si>
  <si>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</si>
  <si>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</si>
  <si>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</si>
  <si>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</si>
  <si>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</si>
  <si>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</si>
  <si>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</si>
  <si>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</si>
  <si>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</si>
  <si>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</si>
  <si>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</si>
  <si>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</si>
  <si>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</si>
  <si>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</si>
  <si>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</si>
  <si>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</si>
  <si>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</si>
  <si>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</si>
  <si>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</si>
  <si>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</si>
  <si>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</si>
  <si>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</si>
  <si>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</si>
  <si>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</si>
  <si>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</si>
  <si>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</si>
  <si>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</si>
  <si>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</si>
  <si>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</si>
  <si>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</si>
  <si>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</si>
  <si>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</si>
  <si>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</si>
  <si>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</si>
  <si>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</si>
  <si>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</si>
  <si>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</si>
  <si>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</si>
  <si>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</si>
  <si>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</si>
  <si>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</si>
  <si>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</si>
  <si>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</si>
  <si>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</si>
  <si>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</si>
  <si>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</si>
  <si>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</si>
  <si>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</si>
  <si>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</si>
  <si>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</si>
  <si>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</si>
  <si>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</si>
  <si>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</si>
  <si>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</si>
  <si>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</si>
  <si>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</si>
  <si>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</si>
  <si>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</si>
  <si>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</si>
  <si>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</si>
  <si>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</si>
  <si>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</si>
  <si>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</si>
  <si>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</si>
  <si>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</si>
  <si>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</si>
  <si>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</si>
  <si>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</si>
  <si>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</si>
  <si>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</si>
  <si>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</si>
  <si>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</si>
  <si>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</si>
  <si>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</si>
  <si>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</si>
  <si>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</si>
  <si>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</si>
  <si>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</si>
  <si>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</si>
  <si>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</si>
  <si>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</si>
  <si>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</si>
  <si>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</si>
  <si>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</si>
  <si>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</si>
  <si>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</si>
  <si>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</si>
  <si>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</si>
  <si>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</si>
  <si>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</si>
  <si>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</si>
  <si>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</si>
  <si>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</si>
  <si>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</si>
  <si>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</si>
  <si>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</si>
  <si>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</si>
  <si>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</si>
  <si>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</si>
  <si>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</si>
  <si>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</si>
  <si>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</si>
  <si>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</si>
  <si>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</si>
  <si>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</si>
  <si>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</si>
  <si>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</si>
  <si>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</si>
  <si>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</si>
  <si>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</si>
  <si>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</si>
  <si>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</si>
  <si>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</si>
  <si>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</si>
  <si>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</si>
  <si>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</si>
  <si>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</si>
  <si>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</si>
  <si>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</si>
  <si>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</si>
  <si>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</si>
  <si>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</si>
  <si>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</si>
  <si>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</si>
  <si>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</si>
  <si>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</si>
  <si>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</si>
  <si>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</si>
  <si>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</si>
  <si>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</si>
  <si>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</si>
  <si>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</si>
  <si>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</si>
  <si>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</si>
  <si>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</si>
  <si>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</si>
  <si>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</si>
  <si>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</si>
  <si>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</si>
  <si>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</si>
  <si>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</si>
  <si>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</si>
  <si>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</si>
  <si>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</si>
  <si>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</si>
  <si>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</si>
  <si>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</si>
  <si>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</si>
  <si>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</si>
  <si>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</si>
  <si>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</si>
  <si>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</si>
  <si>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</si>
  <si>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</si>
  <si>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</si>
  <si>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</si>
  <si>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</si>
  <si>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</si>
  <si>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</si>
  <si>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</si>
  <si>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</si>
  <si>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</si>
  <si>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</si>
  <si>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</si>
  <si>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</si>
  <si>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</si>
  <si>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</si>
  <si>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</si>
  <si>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</si>
  <si>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</si>
  <si>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</si>
  <si>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</si>
  <si>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</si>
  <si>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</si>
  <si>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</si>
  <si>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</si>
  <si>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</si>
  <si>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</si>
  <si>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</si>
  <si>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</si>
  <si>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</si>
  <si>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</si>
  <si>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</si>
  <si>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</si>
  <si>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</si>
  <si>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</si>
  <si>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</si>
  <si>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</si>
  <si>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</si>
  <si>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</si>
  <si>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</si>
  <si>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</si>
  <si>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</si>
  <si>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</si>
  <si>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</si>
  <si>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</si>
  <si>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</si>
  <si>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</si>
  <si>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</si>
  <si>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</si>
  <si>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</si>
  <si>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</si>
  <si>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</si>
  <si>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</si>
  <si>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</si>
  <si>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</si>
  <si>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</si>
  <si>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</si>
  <si>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</si>
  <si>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</si>
  <si>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</si>
  <si>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</si>
  <si>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</si>
  <si>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</si>
  <si>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</si>
  <si>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</si>
  <si>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</si>
  <si>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</si>
  <si>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</si>
  <si>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</si>
  <si>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</si>
  <si>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</si>
  <si>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</si>
  <si>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</si>
  <si>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</si>
  <si>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</si>
  <si>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</si>
  <si>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</si>
  <si>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</si>
  <si>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</si>
  <si>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</si>
  <si>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</si>
  <si>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</si>
  <si>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</si>
  <si>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</si>
  <si>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</si>
  <si>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</si>
  <si>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</si>
  <si>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</si>
  <si>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</si>
  <si>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</si>
  <si>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</si>
  <si>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</si>
  <si>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</si>
  <si>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</si>
  <si>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</si>
  <si>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</si>
  <si>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</si>
  <si>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</si>
  <si>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</si>
  <si>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</si>
  <si>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</si>
  <si>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</si>
  <si>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</si>
  <si>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</si>
  <si>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</si>
  <si>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</si>
  <si>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</si>
  <si>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</si>
  <si>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</si>
  <si>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</si>
  <si>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</si>
  <si>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</si>
  <si>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</si>
  <si>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</si>
  <si>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</si>
  <si>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</si>
  <si>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</si>
  <si>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</si>
  <si>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</si>
  <si>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</si>
  <si>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</si>
  <si>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</si>
  <si>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</si>
  <si>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</si>
  <si>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</si>
  <si>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</si>
  <si>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</si>
  <si>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</si>
  <si>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</si>
  <si>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</si>
  <si>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</si>
  <si>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</si>
  <si>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</si>
  <si>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</si>
  <si>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</si>
  <si>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</si>
  <si>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</si>
  <si>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</si>
  <si>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</si>
  <si>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</si>
  <si>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</si>
  <si>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</si>
  <si>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</si>
  <si>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</si>
  <si>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</si>
  <si>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</si>
  <si>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</si>
  <si>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</si>
  <si>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</si>
  <si>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</si>
  <si>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</si>
  <si>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</si>
  <si>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</si>
  <si>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</si>
  <si>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</si>
  <si>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</si>
  <si>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</si>
  <si>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</si>
  <si>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</si>
  <si>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</si>
  <si>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</si>
  <si>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</si>
  <si>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</si>
  <si>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</si>
  <si>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</si>
  <si>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</si>
  <si>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</si>
  <si>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</si>
  <si>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</si>
  <si>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</si>
  <si>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</si>
  <si>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</si>
  <si>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</si>
  <si>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</si>
  <si>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</si>
  <si>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</si>
  <si>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</si>
  <si>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</si>
  <si>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</si>
  <si>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</si>
  <si>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</si>
  <si>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</si>
  <si>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</si>
  <si>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</si>
  <si>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</si>
  <si>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</si>
  <si>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</si>
  <si>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</si>
  <si>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</si>
  <si>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</si>
  <si>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</si>
  <si>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</si>
  <si>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</si>
  <si>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</si>
  <si>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</si>
  <si>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</si>
  <si>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</si>
  <si>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</si>
  <si>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</si>
  <si>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</si>
  <si>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</si>
  <si>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</si>
  <si>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</si>
  <si>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</si>
  <si>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</si>
  <si>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</si>
  <si>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</si>
  <si>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</si>
  <si>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</si>
  <si>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</si>
  <si>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</si>
  <si>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</si>
  <si>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</si>
  <si>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</si>
  <si>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</si>
  <si>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</si>
  <si>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</si>
  <si>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</si>
  <si>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</si>
  <si>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</si>
  <si>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</si>
  <si>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</si>
  <si>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</si>
  <si>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</si>
  <si>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</si>
  <si>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</si>
  <si>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</si>
  <si>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</si>
  <si>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</si>
  <si>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</si>
  <si>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</si>
  <si>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</si>
  <si>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</si>
  <si>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</si>
  <si>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</si>
  <si>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</si>
  <si>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</si>
  <si>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</si>
  <si>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</si>
  <si>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</si>
  <si>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</si>
  <si>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</si>
  <si>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</si>
  <si>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</si>
  <si>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</si>
  <si>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</si>
  <si>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</si>
  <si>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</si>
  <si>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</si>
  <si>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</si>
  <si>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</si>
  <si>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</si>
  <si>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</si>
  <si>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</si>
  <si>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</si>
  <si>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</si>
  <si>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</si>
  <si>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</si>
  <si>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</si>
  <si>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</si>
  <si>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</si>
  <si>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</si>
  <si>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</si>
  <si>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</si>
  <si>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</si>
  <si>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</si>
  <si>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</si>
  <si>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</si>
  <si>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</si>
  <si>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</si>
  <si>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</si>
  <si>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</si>
  <si>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</si>
  <si>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</si>
  <si>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</si>
  <si>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</si>
  <si>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</si>
  <si>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</si>
  <si>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</si>
  <si>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</si>
  <si>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</si>
  <si>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</si>
  <si>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</si>
  <si>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</si>
  <si>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</si>
  <si>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</si>
  <si>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</si>
  <si>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</si>
  <si>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</si>
  <si>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</si>
  <si>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</si>
  <si>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</si>
  <si>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</si>
  <si>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</si>
  <si>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</si>
  <si>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</si>
  <si>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</si>
  <si>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</si>
  <si>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</si>
  <si>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</si>
  <si>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</si>
  <si>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</si>
  <si>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</si>
  <si>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</si>
  <si>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</si>
  <si>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</si>
  <si>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</si>
  <si>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</si>
  <si>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</si>
  <si>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</si>
  <si>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</si>
  <si>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</si>
  <si>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</si>
  <si>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</si>
  <si>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</si>
  <si>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</si>
  <si>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</si>
  <si>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</si>
  <si>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</si>
  <si>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</si>
  <si>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</si>
  <si>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</si>
  <si>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</si>
  <si>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</si>
  <si>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</si>
  <si>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</si>
  <si>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</si>
  <si>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</si>
  <si>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</si>
  <si>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</si>
  <si>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</si>
  <si>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</si>
  <si>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</si>
  <si>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</si>
  <si>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</si>
  <si>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</si>
  <si>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</si>
  <si>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</si>
  <si>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</si>
  <si>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</si>
  <si>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</si>
  <si>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</si>
  <si>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</si>
  <si>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</si>
  <si>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</si>
  <si>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</si>
  <si>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</si>
  <si>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</si>
  <si>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</si>
  <si>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</si>
  <si>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</si>
  <si>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</si>
  <si>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</si>
  <si>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</si>
  <si>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</si>
  <si>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</si>
  <si>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</si>
  <si>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</si>
  <si>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</si>
  <si>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</si>
  <si>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</si>
  <si>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</si>
  <si>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</si>
  <si>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</si>
  <si>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</si>
  <si>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</si>
  <si>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</si>
  <si>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</si>
  <si>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</si>
  <si>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</si>
  <si>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</si>
  <si>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</si>
  <si>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</si>
  <si>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</si>
  <si>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</si>
  <si>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</si>
  <si>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</si>
  <si>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</si>
  <si>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</si>
  <si>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</si>
  <si>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</si>
  <si>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</si>
  <si>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</si>
  <si>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</si>
  <si>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</si>
  <si>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</si>
  <si>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</si>
  <si>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</si>
  <si>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</si>
  <si>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</si>
  <si>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</si>
  <si>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</si>
  <si>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</si>
  <si>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</si>
  <si>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</si>
  <si>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</si>
  <si>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</si>
  <si>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</si>
  <si>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</si>
  <si>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</si>
  <si>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</si>
  <si>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</si>
  <si>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</si>
  <si>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</si>
  <si>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</si>
  <si>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</si>
  <si>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</si>
  <si>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</si>
  <si>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</si>
  <si>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</si>
  <si>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</si>
  <si>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</si>
  <si>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</si>
  <si>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</si>
  <si>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</si>
  <si>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</si>
  <si>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</si>
  <si>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</si>
  <si>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</si>
  <si>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</si>
  <si>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</si>
  <si>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</si>
  <si>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</si>
  <si>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</si>
  <si>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</si>
  <si>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</si>
  <si>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</si>
  <si>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</si>
  <si>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</si>
  <si>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</si>
  <si>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</si>
  <si>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</si>
  <si>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</si>
  <si>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</si>
  <si>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</si>
  <si>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</si>
  <si>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</si>
  <si>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</si>
  <si>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</si>
  <si>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</si>
  <si>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</si>
  <si>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</si>
  <si>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</si>
  <si>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</si>
  <si>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</si>
  <si>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</si>
  <si>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</si>
  <si>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</si>
  <si>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</si>
  <si>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</si>
  <si>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</si>
  <si>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</si>
  <si>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</si>
  <si>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</si>
  <si>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</si>
  <si>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</si>
  <si>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</si>
  <si>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</si>
  <si>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</si>
  <si>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</si>
  <si>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</si>
  <si>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</si>
  <si>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</si>
  <si>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</si>
  <si>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</si>
  <si>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</si>
  <si>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</si>
  <si>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</si>
  <si>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</si>
  <si>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</si>
  <si>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</si>
  <si>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</si>
  <si>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</si>
  <si>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</si>
  <si>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</si>
  <si>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</si>
  <si>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</si>
  <si>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</si>
  <si>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</si>
  <si>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</si>
  <si>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</si>
  <si>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</si>
  <si>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</si>
  <si>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</si>
  <si>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</si>
  <si>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</si>
  <si>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</si>
  <si>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</si>
  <si>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</si>
  <si>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</si>
  <si>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</si>
  <si>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</si>
  <si>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</si>
  <si>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</si>
  <si>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</si>
  <si>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</si>
  <si>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</si>
  <si>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</si>
  <si>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</si>
  <si>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</si>
  <si>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</si>
  <si>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</si>
  <si>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</si>
  <si>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</si>
  <si>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</si>
  <si>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</si>
  <si>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</si>
  <si>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</si>
  <si>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</si>
  <si>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</si>
  <si>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</si>
  <si>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</si>
  <si>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</si>
  <si>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</si>
  <si>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</si>
  <si>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</si>
  <si>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</si>
  <si>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</si>
  <si>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</si>
  <si>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</si>
  <si>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</si>
  <si>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</si>
  <si>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</si>
  <si>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</si>
  <si>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</si>
  <si>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</si>
  <si>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</si>
  <si>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</si>
  <si>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</si>
  <si>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</si>
  <si>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</si>
  <si>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</si>
  <si>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</si>
  <si>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</si>
  <si>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</si>
  <si>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</si>
  <si>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</si>
  <si>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</si>
  <si>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</si>
  <si>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</si>
  <si>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</si>
  <si>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</si>
  <si>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</si>
  <si>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</si>
  <si>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</si>
  <si>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</si>
  <si>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</si>
  <si>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</si>
  <si>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</si>
  <si>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</si>
  <si>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</si>
  <si>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</si>
  <si>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</si>
  <si>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</si>
  <si>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</si>
  <si>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</si>
  <si>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</si>
  <si>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</si>
  <si>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</si>
  <si>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</si>
  <si>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</si>
  <si>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</si>
  <si>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</si>
  <si>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</si>
  <si>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</si>
  <si>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</si>
  <si>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</si>
  <si>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</si>
  <si>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</si>
  <si>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</si>
  <si>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</si>
  <si>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</si>
  <si>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</si>
  <si>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</si>
  <si>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</si>
  <si>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</si>
  <si>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</si>
  <si>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</si>
  <si>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</si>
  <si>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</si>
  <si>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</si>
  <si>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</si>
  <si>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</si>
  <si>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</si>
  <si>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</si>
  <si>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</si>
  <si>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</si>
  <si>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</si>
  <si>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</si>
  <si>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</si>
  <si>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</si>
  <si>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</si>
  <si>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</si>
  <si>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</si>
  <si>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</si>
  <si>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</si>
  <si>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</si>
  <si>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</si>
  <si>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</si>
  <si>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</si>
  <si>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</si>
  <si>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</si>
  <si>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</si>
  <si>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</si>
  <si>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</si>
  <si>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</si>
  <si>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</si>
  <si>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</si>
  <si>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</si>
  <si>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</si>
  <si>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</si>
  <si>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</si>
  <si>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</si>
  <si>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</si>
  <si>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</si>
  <si>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</si>
  <si>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</si>
  <si>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</si>
  <si>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</si>
  <si>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</si>
  <si>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</si>
  <si>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</si>
  <si>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</si>
  <si>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</si>
  <si>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</si>
  <si>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</si>
  <si>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</si>
  <si>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</si>
  <si>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</si>
  <si>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</si>
  <si>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</si>
  <si>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</si>
  <si>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</si>
  <si>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</si>
  <si>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</si>
  <si>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</si>
  <si>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</si>
  <si>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</si>
  <si>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</si>
  <si>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</si>
  <si>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</si>
  <si>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</si>
  <si>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</si>
  <si>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</si>
  <si>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</si>
  <si>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</si>
  <si>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</si>
  <si>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</si>
  <si>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</si>
  <si>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</si>
  <si>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</si>
  <si>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</si>
  <si>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</si>
  <si>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</si>
  <si>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</si>
  <si>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</si>
  <si>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</si>
  <si>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</si>
  <si>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</si>
  <si>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</si>
  <si>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</si>
  <si>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</si>
  <si>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</si>
  <si>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</si>
  <si>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</si>
  <si>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</si>
  <si>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</si>
  <si>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</si>
  <si>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</si>
  <si>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</si>
  <si>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</si>
  <si>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</si>
  <si>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</si>
  <si>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</si>
  <si>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</si>
  <si>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</si>
  <si>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</si>
  <si>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</si>
  <si>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</si>
  <si>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</si>
  <si>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</si>
  <si>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</si>
  <si>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</si>
  <si>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</si>
  <si>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</si>
  <si>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</si>
  <si>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</si>
  <si>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</si>
  <si>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</si>
  <si>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</si>
  <si>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</si>
  <si>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</si>
  <si>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</si>
  <si>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</si>
  <si>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</si>
  <si>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</si>
  <si>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</si>
  <si>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</si>
  <si>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</si>
  <si>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</si>
  <si>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</si>
  <si>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</si>
  <si>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</si>
  <si>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</si>
  <si>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</si>
  <si>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</si>
  <si>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</si>
  <si>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</si>
  <si>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</si>
  <si>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</si>
  <si>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</si>
  <si>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</si>
  <si>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</si>
  <si>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</si>
  <si>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</si>
  <si>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</si>
  <si>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</si>
  <si>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</si>
  <si>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</si>
  <si>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</si>
  <si>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</si>
  <si>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</si>
  <si>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</si>
  <si>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</si>
  <si>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</si>
  <si>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</si>
  <si>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</si>
  <si>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</si>
  <si>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</si>
  <si>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</si>
  <si>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</si>
  <si>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</si>
  <si>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</si>
  <si>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</si>
  <si>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</si>
  <si>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</si>
  <si>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</si>
  <si>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</si>
  <si>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</si>
  <si>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</si>
  <si>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</si>
  <si>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</si>
  <si>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</si>
  <si>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</si>
  <si>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</si>
  <si>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</si>
  <si>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</si>
  <si>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</si>
  <si>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</si>
  <si>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</si>
  <si>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</si>
  <si>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</si>
  <si>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</si>
  <si>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</si>
  <si>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</si>
  <si>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</si>
  <si>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</si>
  <si>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</si>
  <si>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</si>
  <si>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</si>
  <si>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</si>
  <si>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</si>
  <si>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</si>
  <si>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</si>
  <si>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</si>
  <si>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</si>
  <si>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</si>
  <si>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</si>
  <si>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</si>
  <si>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</si>
  <si>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</si>
  <si>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</si>
  <si>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</si>
  <si>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</si>
  <si>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</si>
  <si>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</si>
  <si>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</si>
  <si>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</si>
  <si>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</si>
  <si>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</si>
  <si>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</si>
  <si>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</si>
  <si>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</si>
  <si>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</si>
  <si>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</si>
  <si>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</si>
  <si>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</si>
  <si>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</si>
  <si>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</si>
  <si>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</si>
  <si>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</si>
  <si>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</si>
  <si>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</si>
  <si>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</si>
  <si>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</si>
  <si>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</si>
  <si>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</si>
  <si>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</si>
  <si>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</si>
  <si>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</si>
  <si>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</si>
  <si>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</si>
  <si>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</si>
  <si>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</si>
  <si>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</si>
  <si>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</si>
  <si>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</si>
  <si>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</si>
  <si>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</si>
  <si>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</si>
  <si>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</si>
  <si>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</si>
  <si>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</si>
  <si>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</si>
  <si>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</si>
  <si>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</si>
  <si>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</si>
  <si>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</si>
  <si>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</si>
  <si>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</si>
  <si>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</si>
  <si>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</si>
  <si>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</si>
  <si>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</si>
  <si>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</si>
  <si>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</si>
  <si>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</si>
  <si>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</si>
  <si>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</si>
  <si>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</si>
  <si>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</si>
  <si>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</si>
  <si>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</si>
  <si>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</si>
  <si>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</si>
  <si>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</si>
  <si>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</si>
  <si>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</si>
  <si>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</si>
  <si>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</si>
  <si>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</si>
  <si>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</si>
  <si>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</si>
  <si>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</si>
  <si>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</si>
  <si>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</si>
  <si>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</si>
  <si>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</si>
  <si>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</si>
  <si>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</si>
  <si>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</si>
  <si>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</si>
  <si>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</si>
  <si>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</si>
  <si>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</si>
  <si>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</si>
  <si>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</si>
  <si>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</si>
  <si>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</si>
  <si>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</si>
  <si>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</si>
  <si>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</si>
  <si>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</si>
  <si>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</si>
  <si>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</si>
  <si>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</si>
  <si>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</si>
  <si>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</si>
  <si>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</si>
  <si>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</si>
  <si>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</si>
  <si>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</si>
  <si>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</si>
  <si>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</si>
  <si>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</si>
  <si>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</si>
  <si>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</si>
  <si>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</si>
  <si>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</si>
  <si>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</si>
  <si>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</si>
  <si>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</si>
  <si>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</si>
  <si>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</si>
  <si>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</si>
  <si>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</si>
  <si>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</si>
  <si>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</si>
  <si>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</si>
  <si>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</si>
  <si>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</si>
  <si>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</si>
  <si>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</si>
  <si>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</si>
  <si>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</si>
  <si>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</si>
  <si>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</si>
  <si>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</si>
  <si>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</si>
  <si>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</si>
  <si>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</si>
  <si>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</si>
  <si>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</si>
  <si>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</si>
  <si>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</si>
  <si>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</si>
  <si>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</si>
  <si>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</si>
  <si>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</si>
  <si>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</si>
  <si>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</si>
  <si>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</si>
  <si>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</si>
  <si>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</si>
  <si>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</si>
  <si>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</si>
  <si>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</si>
  <si>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</si>
  <si>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</si>
  <si>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</si>
  <si>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</si>
  <si>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</si>
  <si>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</si>
  <si>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</si>
  <si>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</si>
  <si>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</si>
  <si>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</si>
  <si>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</si>
  <si>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</si>
  <si>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</si>
  <si>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</si>
  <si>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</si>
  <si>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</si>
  <si>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</si>
  <si>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</si>
  <si>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</si>
  <si>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</si>
  <si>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</si>
  <si>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</si>
  <si>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</si>
  <si>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</si>
  <si>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</si>
  <si>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</si>
  <si>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</si>
  <si>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</si>
  <si>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</si>
  <si>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</si>
  <si>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</si>
  <si>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</si>
  <si>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</si>
  <si>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</si>
  <si>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</si>
  <si>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</si>
  <si>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</si>
  <si>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</si>
  <si>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</si>
  <si>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</si>
  <si>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</si>
  <si>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</si>
  <si>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</si>
  <si>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</si>
  <si>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</si>
  <si>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</si>
  <si>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</si>
  <si>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</si>
  <si>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</si>
  <si>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</si>
  <si>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</si>
  <si>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</si>
  <si>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</si>
  <si>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</si>
  <si>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</si>
  <si>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</si>
  <si>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</si>
  <si>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</si>
  <si>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</si>
  <si>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</si>
  <si>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</si>
  <si>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</si>
  <si>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</si>
  <si>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</si>
  <si>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</si>
  <si>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</si>
  <si>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</si>
  <si>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</si>
  <si>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</si>
  <si>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</si>
  <si>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</si>
  <si>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</si>
  <si>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</si>
  <si>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</si>
  <si>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</si>
  <si>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</si>
  <si>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</si>
  <si>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</si>
  <si>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</si>
  <si>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</si>
  <si>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</si>
  <si>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</si>
  <si>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</si>
  <si>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</si>
  <si>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</si>
  <si>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</si>
  <si>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</si>
  <si>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</si>
  <si>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</si>
  <si>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</si>
  <si>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</si>
  <si>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</si>
  <si>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</si>
  <si>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</si>
  <si>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</si>
  <si>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</si>
  <si>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</si>
  <si>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</si>
  <si>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</si>
  <si>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</si>
  <si>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</si>
  <si>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</si>
  <si>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</si>
  <si>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</si>
  <si>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</si>
  <si>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</si>
  <si>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</si>
  <si>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</si>
  <si>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</si>
  <si>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</si>
  <si>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</si>
  <si>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</si>
  <si>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</si>
  <si>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</si>
  <si>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</si>
  <si>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</si>
  <si>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</si>
  <si>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</si>
  <si>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</si>
  <si>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</si>
  <si>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</si>
  <si>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</si>
  <si>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</si>
  <si>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</si>
  <si>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</si>
  <si>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</si>
  <si>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</si>
  <si>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</si>
  <si>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</si>
  <si>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</si>
  <si>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</si>
  <si>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</si>
  <si>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</si>
  <si>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</si>
  <si>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</si>
  <si>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</si>
  <si>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</si>
  <si>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</si>
  <si>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</si>
  <si>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</si>
  <si>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</si>
  <si>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</si>
  <si>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</si>
  <si>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</si>
  <si>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</si>
  <si>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</si>
  <si>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</si>
  <si>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</si>
  <si>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</si>
  <si>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</si>
  <si>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</si>
  <si>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</si>
  <si>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</si>
  <si>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</si>
  <si>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</si>
  <si>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</si>
  <si>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</si>
  <si>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</si>
  <si>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</si>
  <si>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</si>
  <si>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</si>
  <si>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</si>
  <si>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</si>
  <si>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</si>
  <si>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</si>
  <si>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</si>
  <si>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</si>
  <si>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</si>
  <si>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</si>
  <si>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</si>
  <si>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</si>
  <si>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</si>
  <si>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</si>
  <si>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</si>
  <si>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</si>
  <si>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</si>
  <si>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</si>
  <si>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</si>
  <si>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</si>
  <si>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</si>
  <si>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</si>
  <si>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</si>
  <si>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</si>
  <si>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</si>
  <si>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</si>
  <si>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</si>
  <si>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</si>
  <si>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</si>
  <si>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</si>
  <si>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</si>
  <si>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</si>
  <si>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</si>
  <si>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</si>
  <si>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</si>
  <si>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</si>
  <si>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</si>
  <si>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</si>
  <si>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</si>
  <si>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</si>
  <si>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</si>
  <si>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</si>
  <si>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</si>
  <si>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</si>
  <si>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</si>
  <si>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</si>
  <si>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</si>
  <si>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</si>
  <si>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</si>
  <si>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</si>
  <si>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</si>
  <si>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</si>
  <si>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</si>
  <si>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</si>
  <si>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</si>
  <si>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</si>
  <si>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</si>
  <si>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</si>
  <si>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</si>
  <si>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</si>
  <si>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</si>
  <si>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</si>
  <si>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</si>
  <si>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</si>
  <si>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</si>
  <si>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</si>
  <si>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</si>
  <si>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</si>
  <si>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</si>
  <si>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</si>
  <si>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</si>
  <si>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</si>
  <si>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</si>
  <si>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</si>
  <si>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</si>
  <si>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</si>
  <si>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</si>
  <si>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</si>
  <si>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</si>
  <si>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</si>
  <si>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</si>
  <si>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</si>
  <si>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</si>
  <si>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</si>
  <si>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</si>
  <si>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</si>
  <si>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</si>
  <si>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</si>
  <si>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</si>
  <si>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</si>
  <si>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</si>
  <si>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</si>
  <si>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</si>
  <si>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</si>
  <si>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</si>
  <si>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</si>
  <si>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</si>
  <si>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</si>
  <si>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</si>
  <si>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</si>
  <si>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</si>
  <si>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</si>
  <si>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</si>
  <si>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</si>
  <si>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</si>
  <si>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</si>
  <si>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</si>
  <si>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</si>
  <si>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</si>
  <si>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</si>
  <si>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</si>
  <si>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</si>
  <si>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</si>
  <si>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</si>
  <si>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</si>
  <si>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</si>
  <si>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</si>
  <si>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</si>
  <si>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</si>
  <si>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</si>
  <si>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</si>
  <si>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</si>
  <si>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</si>
  <si>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</si>
  <si>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</si>
  <si>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</si>
  <si>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</si>
  <si>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</si>
  <si>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</si>
  <si>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</si>
  <si>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</si>
  <si>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</si>
  <si>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</si>
  <si>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</si>
  <si>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</si>
  <si>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</si>
  <si>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</si>
  <si>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</si>
  <si>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</si>
  <si>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</si>
  <si>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</si>
  <si>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</si>
  <si>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</si>
  <si>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</si>
  <si>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</si>
  <si>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</si>
  <si>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</si>
  <si>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</si>
  <si>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</si>
  <si>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</si>
  <si>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</si>
  <si>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</si>
  <si>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</si>
  <si>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</si>
  <si>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</si>
  <si>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</si>
  <si>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</si>
  <si>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</si>
  <si>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</si>
  <si>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</si>
  <si>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</si>
  <si>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</si>
  <si>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</si>
  <si>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</si>
  <si>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</si>
  <si>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</si>
  <si>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</si>
  <si>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</si>
  <si>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</si>
  <si>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</si>
  <si>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</si>
  <si>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</si>
  <si>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</si>
  <si>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</si>
  <si>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</si>
  <si>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</si>
  <si>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</si>
  <si>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</si>
  <si>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</si>
  <si>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</si>
  <si>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</si>
  <si>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</si>
  <si>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</si>
  <si>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</si>
  <si>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</si>
  <si>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</si>
  <si>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</si>
  <si>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</si>
  <si>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</si>
  <si>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</si>
  <si>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</si>
  <si>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</si>
  <si>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</si>
  <si>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</si>
  <si>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</si>
  <si>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</si>
  <si>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</si>
  <si>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</si>
  <si>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</si>
  <si>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</si>
  <si>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</si>
  <si>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</si>
  <si>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</si>
  <si>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</si>
  <si>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</si>
  <si>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</si>
  <si>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</si>
  <si>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</si>
  <si>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</si>
  <si>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</si>
  <si>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</si>
  <si>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</si>
  <si>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</si>
  <si>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</si>
  <si>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</si>
  <si>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</si>
  <si>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</si>
  <si>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</si>
  <si>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</si>
  <si>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</si>
  <si>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</si>
  <si>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</si>
  <si>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</si>
  <si>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</si>
  <si>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</si>
  <si>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</si>
  <si>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</si>
  <si>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</si>
  <si>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</si>
  <si>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</si>
  <si>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</si>
  <si>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</si>
  <si>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</si>
  <si>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</si>
  <si>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</si>
  <si>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</si>
  <si>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</si>
  <si>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</si>
  <si>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</si>
  <si>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</si>
  <si>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</si>
  <si>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</si>
  <si>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</si>
  <si>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</si>
  <si>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</si>
  <si>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</si>
  <si>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</si>
  <si>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</si>
  <si>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</si>
  <si>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</si>
  <si>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</si>
  <si>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</si>
  <si>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</si>
  <si>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</si>
  <si>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</si>
  <si>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</si>
  <si>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</si>
  <si>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</si>
  <si>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</si>
  <si>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</si>
  <si>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</si>
  <si>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</si>
  <si>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</si>
  <si>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</si>
  <si>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</si>
  <si>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</si>
  <si>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</si>
  <si>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</si>
  <si>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</si>
  <si>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</si>
  <si>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</si>
  <si>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</si>
  <si>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</si>
  <si>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</si>
  <si>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</si>
  <si>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</si>
  <si>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</si>
  <si>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</si>
  <si>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</si>
  <si>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</si>
  <si>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</si>
  <si>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</si>
  <si>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</si>
  <si>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</si>
  <si>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</si>
  <si>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</si>
  <si>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</si>
  <si>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</si>
  <si>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</si>
  <si>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</si>
  <si>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</si>
  <si>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</si>
  <si>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</si>
  <si>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</si>
  <si>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</si>
  <si>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</si>
  <si>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</si>
  <si>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</si>
  <si>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</si>
  <si>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</si>
  <si>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</si>
  <si>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</si>
  <si>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</si>
  <si>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</si>
  <si>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</si>
  <si>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</si>
  <si>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</si>
  <si>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</si>
  <si>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</si>
  <si>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</si>
  <si>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</si>
  <si>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</si>
  <si>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</si>
  <si>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</si>
  <si>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</si>
  <si>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</si>
  <si>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</si>
  <si>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</si>
  <si>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</si>
  <si>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</si>
  <si>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</si>
  <si>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</si>
  <si>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</si>
  <si>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</si>
  <si>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</si>
  <si>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</si>
  <si>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</si>
  <si>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</si>
  <si>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</si>
  <si>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</si>
  <si>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</si>
  <si>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</si>
  <si>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</si>
  <si>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</si>
  <si>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</si>
  <si>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</si>
  <si>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</si>
  <si>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</si>
  <si>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</si>
  <si>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</si>
  <si>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</si>
  <si>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</si>
  <si>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</si>
  <si>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</si>
  <si>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</si>
  <si>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</si>
  <si>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</si>
  <si>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</si>
  <si>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</si>
  <si>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</si>
  <si>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</si>
  <si>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</si>
  <si>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</si>
  <si>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</si>
  <si>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</si>
  <si>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</si>
  <si>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</si>
  <si>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</si>
  <si>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</si>
  <si>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</si>
  <si>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</si>
  <si>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</si>
  <si>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</si>
  <si>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</si>
  <si>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</si>
  <si>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</si>
  <si>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</si>
  <si>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</si>
  <si>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</si>
  <si>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</si>
  <si>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</si>
  <si>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</si>
  <si>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</si>
  <si>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</si>
  <si>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</si>
  <si>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</si>
  <si>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</si>
  <si>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</si>
  <si>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</si>
  <si>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</si>
  <si>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</si>
  <si>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</si>
  <si>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</si>
  <si>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</si>
  <si>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</si>
  <si>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</si>
  <si>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</si>
  <si>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</si>
  <si>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</si>
  <si>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</si>
  <si>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</si>
  <si>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</si>
  <si>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</si>
  <si>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</si>
  <si>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</si>
  <si>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</si>
  <si>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</si>
  <si>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</si>
  <si>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</si>
  <si>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</si>
  <si>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</si>
  <si>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</si>
  <si>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</si>
  <si>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</si>
  <si>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</si>
  <si>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</si>
  <si>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</si>
  <si>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</si>
  <si>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</si>
  <si>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</si>
  <si>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</si>
  <si>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</si>
  <si>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</si>
  <si>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</si>
  <si>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</si>
  <si>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</si>
  <si>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</si>
  <si>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</si>
  <si>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</si>
  <si>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</si>
  <si>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</si>
  <si>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</si>
  <si>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</si>
  <si>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</si>
  <si>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</si>
  <si>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</si>
  <si>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</si>
  <si>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</si>
  <si>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</si>
  <si>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</si>
  <si>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</si>
  <si>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</si>
  <si>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</si>
  <si>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</si>
  <si>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</si>
  <si>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</si>
  <si>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</si>
  <si>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</si>
  <si>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</si>
  <si>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</si>
  <si>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</si>
  <si>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</si>
  <si>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</si>
  <si>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</si>
  <si>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</si>
  <si>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</si>
  <si>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</si>
  <si>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</si>
  <si>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</si>
  <si>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</si>
  <si>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</si>
  <si>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</si>
  <si>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</si>
  <si>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</si>
  <si>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</si>
  <si>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</si>
  <si>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</si>
  <si>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</si>
  <si>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</si>
  <si>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</si>
  <si>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</si>
  <si>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</si>
  <si>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</si>
  <si>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</si>
  <si>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</si>
  <si>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</si>
  <si>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</si>
  <si>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</si>
  <si>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</si>
  <si>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</si>
  <si>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</si>
  <si>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</si>
  <si>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</si>
  <si>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</si>
  <si>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</si>
  <si>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</si>
  <si>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</si>
  <si>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</si>
  <si>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</si>
  <si>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</si>
  <si>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</si>
  <si>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Radiall</t>
  </si>
  <si>
    <t>VAT registration FR 54 552 124 984</t>
  </si>
  <si>
    <t>RADIALL SA</t>
  </si>
  <si>
    <t>25 Rue Madeleine VIONNET 93300 AUBERVILLIERS, France</t>
  </si>
  <si>
    <t>Sylvie Lefloch Dubois</t>
  </si>
  <si>
    <t>sylvie.lefloch-dubois@radiall.com</t>
  </si>
  <si>
    <t>(+33) 4 7650 0057</t>
  </si>
  <si>
    <t>Environmental Compliance Manager</t>
  </si>
  <si>
    <t>Radiall USA only</t>
  </si>
  <si>
    <t>New specific survey campaign</t>
  </si>
  <si>
    <t>In progress</t>
  </si>
  <si>
    <t>Not at this current stage</t>
  </si>
  <si>
    <t>Included in Radiall's General Conditions of Purchase and in our Instruction Form concerning the quality requirements for Radiall suppliers</t>
  </si>
  <si>
    <t>https://www.radiall.com/about/sustainability/other-regulations</t>
  </si>
  <si>
    <t>Still in process for some suppliers (approximatively 5%)</t>
  </si>
  <si>
    <t>unknown</t>
  </si>
  <si>
    <t>China Al</t>
  </si>
  <si>
    <t>CID001143</t>
  </si>
  <si>
    <t>CFSI</t>
  </si>
  <si>
    <t>Cooperativa Metalurgica de Rondônia Ltda.</t>
  </si>
  <si>
    <t>CID000295</t>
  </si>
  <si>
    <t>Rondonia</t>
  </si>
  <si>
    <t>PT Wahana Perkit Jaya</t>
  </si>
  <si>
    <t>CID002479</t>
  </si>
  <si>
    <t>Topang Island</t>
  </si>
  <si>
    <t>Riau Province</t>
  </si>
  <si>
    <t>Ge Jiu Trading Company</t>
  </si>
  <si>
    <t>Ge Jiu City</t>
  </si>
  <si>
    <t>Yun Nan</t>
  </si>
  <si>
    <t>infoenv@radiall,com</t>
  </si>
  <si>
    <t>No for all received answers (more than 90% of the supply chain)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</si>
</sst>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s>
  <fonts count="144">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diagonal/>
    </border>
  </borders>
  <cellStyleXfs count="1029">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xf numFmtId="0" fontId="82" fillId="0" borderId="0" applyNumberFormat="0" applyFill="0" applyBorder="0" applyAlignment="0" applyProtection="0"/>
    <xf numFmtId="168" fontId="81"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8" fontId="87" fillId="0" borderId="0"/>
    <xf numFmtId="0" fontId="7" fillId="0" borderId="0"/>
    <xf numFmtId="0" fontId="7" fillId="0" borderId="0"/>
    <xf numFmtId="168"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8" fontId="87" fillId="0" borderId="0"/>
    <xf numFmtId="0" fontId="6" fillId="0" borderId="0"/>
    <xf numFmtId="168" fontId="7" fillId="0" borderId="0"/>
    <xf numFmtId="0" fontId="70" fillId="0" borderId="0"/>
    <xf numFmtId="0" fontId="70" fillId="0" borderId="0"/>
    <xf numFmtId="168" fontId="6" fillId="0" borderId="0"/>
    <xf numFmtId="0" fontId="70" fillId="0" borderId="0"/>
    <xf numFmtId="0" fontId="6" fillId="0" borderId="0"/>
    <xf numFmtId="0" fontId="70" fillId="0" borderId="0"/>
    <xf numFmtId="0" fontId="88" fillId="0" borderId="0">
      <alignment vertical="center"/>
    </xf>
    <xf numFmtId="168"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8" fontId="87" fillId="0" borderId="0"/>
    <xf numFmtId="168"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0" fontId="7" fillId="0" borderId="0"/>
    <xf numFmtId="0" fontId="1" fillId="0" borderId="0"/>
    <xf numFmtId="0" fontId="125" fillId="0" borderId="0" applyNumberFormat="0" applyFill="0" applyBorder="0" applyAlignment="0" applyProtection="0"/>
    <xf numFmtId="0" fontId="7" fillId="0" borderId="0"/>
    <xf numFmtId="0" fontId="125" fillId="0" borderId="0" applyNumberFormat="0" applyFill="0" applyBorder="0" applyAlignment="0" applyProtection="0"/>
    <xf numFmtId="0" fontId="126" fillId="0" borderId="0" applyNumberFormat="0" applyFill="0" applyBorder="0" applyAlignment="0" applyProtection="0"/>
    <xf numFmtId="0" fontId="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9" fillId="0" borderId="0" applyNumberFormat="0" applyBorder="0" applyProtection="0">
      <alignment horizontal="center"/>
    </xf>
    <xf numFmtId="0" fontId="129" fillId="0" borderId="0" applyNumberFormat="0" applyBorder="0" applyProtection="0">
      <alignment horizontal="center" textRotation="90"/>
    </xf>
    <xf numFmtId="167" fontId="60" fillId="0" borderId="0" applyFont="0" applyFill="0" applyBorder="0" applyAlignment="0" applyProtection="0"/>
    <xf numFmtId="0" fontId="11" fillId="0" borderId="0"/>
    <xf numFmtId="0" fontId="130" fillId="0" borderId="0">
      <alignment vertical="center"/>
    </xf>
    <xf numFmtId="0" fontId="131" fillId="0" borderId="0">
      <alignment vertical="center"/>
    </xf>
    <xf numFmtId="0" fontId="11" fillId="0" borderId="0"/>
    <xf numFmtId="0" fontId="6" fillId="0" borderId="0"/>
    <xf numFmtId="0" fontId="132" fillId="0" borderId="0" applyNumberFormat="0" applyBorder="0" applyProtection="0"/>
    <xf numFmtId="177" fontId="132" fillId="0" borderId="0" applyBorder="0" applyProtection="0"/>
    <xf numFmtId="178" fontId="11" fillId="0" borderId="0" applyFont="0" applyFill="0" applyBorder="0" applyAlignment="0" applyProtection="0"/>
    <xf numFmtId="0" fontId="133" fillId="0" borderId="0"/>
    <xf numFmtId="0" fontId="134" fillId="0" borderId="0"/>
    <xf numFmtId="0" fontId="135" fillId="0" borderId="0"/>
    <xf numFmtId="0" fontId="136" fillId="0" borderId="0">
      <alignment vertical="center"/>
    </xf>
    <xf numFmtId="0" fontId="60" fillId="0" borderId="0">
      <alignment vertical="center"/>
    </xf>
    <xf numFmtId="0" fontId="136" fillId="0" borderId="0">
      <alignment vertical="center"/>
    </xf>
    <xf numFmtId="0" fontId="1" fillId="0" borderId="0">
      <alignment vertical="center"/>
    </xf>
    <xf numFmtId="0" fontId="136" fillId="0" borderId="0">
      <alignment vertical="center"/>
    </xf>
    <xf numFmtId="0" fontId="137" fillId="0" borderId="0">
      <alignment vertical="center"/>
    </xf>
    <xf numFmtId="0" fontId="11" fillId="0" borderId="0"/>
    <xf numFmtId="9" fontId="1" fillId="0" borderId="0" applyFont="0" applyFill="0" applyBorder="0" applyAlignment="0" applyProtection="0"/>
    <xf numFmtId="0" fontId="6"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7" fillId="0" borderId="0"/>
    <xf numFmtId="0" fontId="138" fillId="29" borderId="0" applyNumberFormat="0" applyBorder="0" applyAlignment="0" applyProtection="0"/>
    <xf numFmtId="168" fontId="7" fillId="0" borderId="0"/>
    <xf numFmtId="0" fontId="8"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6" fillId="0" borderId="0"/>
    <xf numFmtId="168" fontId="7" fillId="0" borderId="0"/>
    <xf numFmtId="0" fontId="141" fillId="0" borderId="0"/>
    <xf numFmtId="0" fontId="141" fillId="0" borderId="0"/>
    <xf numFmtId="0" fontId="141" fillId="0" borderId="0"/>
    <xf numFmtId="0" fontId="141" fillId="0" borderId="0"/>
    <xf numFmtId="0" fontId="142" fillId="0" borderId="0"/>
    <xf numFmtId="0" fontId="141" fillId="0" borderId="0"/>
    <xf numFmtId="0" fontId="142" fillId="0" borderId="0"/>
    <xf numFmtId="0" fontId="141" fillId="0" borderId="0"/>
    <xf numFmtId="0" fontId="141" fillId="0" borderId="0"/>
    <xf numFmtId="0" fontId="141" fillId="0" borderId="0"/>
    <xf numFmtId="0" fontId="141" fillId="0" borderId="0"/>
    <xf numFmtId="0" fontId="141" fillId="0" borderId="0"/>
    <xf numFmtId="0" fontId="7" fillId="0" borderId="0"/>
    <xf numFmtId="0" fontId="141" fillId="0" borderId="0"/>
    <xf numFmtId="0" fontId="141" fillId="0" borderId="0"/>
    <xf numFmtId="0" fontId="142" fillId="0" borderId="0"/>
    <xf numFmtId="0" fontId="142" fillId="0" borderId="0"/>
    <xf numFmtId="0" fontId="141" fillId="0" borderId="0"/>
    <xf numFmtId="0" fontId="141" fillId="0" borderId="0"/>
    <xf numFmtId="0" fontId="141" fillId="0" borderId="0"/>
    <xf numFmtId="168" fontId="87" fillId="0" borderId="0"/>
    <xf numFmtId="168" fontId="87" fillId="0" borderId="0"/>
    <xf numFmtId="0" fontId="143"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72" fillId="29" borderId="0" applyNumberFormat="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applyNumberFormat="0" applyFill="0" applyBorder="0" applyAlignment="0" applyProtection="0"/>
    <xf numFmtId="0" fontId="83"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8" fillId="0" borderId="0">
      <alignment vertical="center"/>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0" fillId="0" borderId="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 fillId="0" borderId="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7" fillId="0" borderId="0"/>
    <xf numFmtId="0" fontId="141" fillId="0" borderId="0"/>
    <xf numFmtId="0" fontId="141" fillId="0" borderId="0"/>
    <xf numFmtId="0" fontId="1" fillId="0" borderId="0"/>
    <xf numFmtId="0" fontId="1" fillId="0" borderId="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41" fillId="0" borderId="0"/>
    <xf numFmtId="0" fontId="141" fillId="0" borderId="0"/>
    <xf numFmtId="0" fontId="1" fillId="0" borderId="0"/>
  </cellStyleXfs>
  <cellXfs count="449">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70"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8" fontId="97" fillId="0" borderId="0" xfId="480" applyFont="1" applyFill="1" applyAlignment="1">
      <alignment horizontal="left" vertical="top" wrapText="1"/>
    </xf>
    <xf numFmtId="168"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8" fontId="97" fillId="0" borderId="0" xfId="480" applyFont="1" applyFill="1" applyAlignment="1">
      <alignment vertical="top" wrapText="1"/>
    </xf>
    <xf numFmtId="168" fontId="98"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20" fillId="0" borderId="0" xfId="502" applyFont="1" applyFill="1" applyAlignment="1">
      <alignment horizontal="justify" vertical="top"/>
    </xf>
    <xf numFmtId="0" fontId="98"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8" fontId="97" fillId="0" borderId="0" xfId="480" applyFont="1" applyFill="1" applyAlignment="1" applyProtection="1">
      <alignment horizontal="left" vertical="top" wrapText="1"/>
    </xf>
    <xf numFmtId="168" fontId="97" fillId="0" borderId="0" xfId="480" applyFont="1" applyFill="1" applyBorder="1" applyAlignment="1">
      <alignment vertical="top" wrapText="1"/>
    </xf>
    <xf numFmtId="168" fontId="97"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8" fontId="7" fillId="0" borderId="0" xfId="480"/>
    <xf numFmtId="0" fontId="116" fillId="0" borderId="0" xfId="0" applyFont="1" applyFill="1" applyAlignment="1">
      <alignment vertical="top" wrapText="1"/>
    </xf>
    <xf numFmtId="0" fontId="0" fillId="0" borderId="11" xfId="0" applyFont="1" applyBorder="1" applyAlignment="1" applyProtection="1">
      <alignment wrapText="1"/>
      <protection locked="0"/>
    </xf>
    <xf numFmtId="0" fontId="0" fillId="0" borderId="67" xfId="0" applyBorder="1" applyAlignment="1" applyProtection="1">
      <alignment horizontal="left" vertical="center" wrapText="1"/>
      <protection locked="0" hidden="1"/>
    </xf>
    <xf numFmtId="0" fontId="0" fillId="2" borderId="54" xfId="0" applyFont="1" applyFill="1" applyBorder="1" applyAlignment="1" applyProtection="1">
      <alignment horizontal="left" vertical="center" wrapText="1"/>
      <protection locked="0" hidden="1"/>
    </xf>
    <xf numFmtId="0" fontId="0" fillId="0" borderId="66" xfId="0" applyFont="1" applyBorder="1" applyAlignment="1" applyProtection="1">
      <alignment vertical="center" wrapText="1"/>
      <protection locked="0" hidden="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168" fontId="26" fillId="2" borderId="42" xfId="570" applyNumberFormat="1"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2" xfId="570" applyNumberFormat="1"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 xfId="0" applyFont="1" applyFill="1" applyBorder="1" applyAlignment="1" applyProtection="1">
      <alignment horizontal="left" wrapText="1"/>
      <protection hidden="1"/>
    </xf>
    <xf numFmtId="0" fontId="24" fillId="0" borderId="18" xfId="487" applyFont="1" applyFill="1" applyBorder="1" applyAlignment="1" applyProtection="1">
      <alignment horizontal="center"/>
      <protection hidden="1"/>
    </xf>
    <xf numFmtId="0" fontId="8" fillId="2" borderId="52" xfId="487"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169" fontId="15" fillId="2" borderId="25" xfId="0" applyNumberFormat="1" applyFont="1" applyFill="1" applyBorder="1" applyAlignment="1" applyProtection="1">
      <alignment horizontal="center" wrapText="1"/>
      <protection locked="0" hidden="1"/>
    </xf>
    <xf numFmtId="169"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6" fillId="2" borderId="25" xfId="0" applyFont="1" applyFill="1" applyBorder="1" applyAlignment="1" applyProtection="1">
      <alignment horizontal="left" vertical="center"/>
      <protection locked="0"/>
    </xf>
    <xf numFmtId="0" fontId="16" fillId="2" borderId="18" xfId="0" applyFont="1" applyFill="1" applyBorder="1" applyAlignment="1" applyProtection="1">
      <alignment horizontal="left" vertical="center"/>
      <protection locked="0"/>
    </xf>
    <xf numFmtId="0" fontId="16" fillId="2" borderId="53" xfId="0" applyFont="1" applyFill="1" applyBorder="1" applyAlignment="1" applyProtection="1">
      <alignment horizontal="left" vertical="center"/>
      <protection locked="0"/>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02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2 2" xfId="726"/>
    <cellStyle name="Bad 2 3" xfId="680"/>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37"/>
    <cellStyle name="Excel Built-in Normal" xfId="480"/>
    <cellStyle name="Excel Built-in Normal 2" xfId="681"/>
    <cellStyle name="Excel Built-in Normal 3" xfId="638"/>
    <cellStyle name="Explanatory Text 2" xfId="481"/>
    <cellStyle name="Good 2" xfId="482"/>
    <cellStyle name="Heading" xfId="639"/>
    <cellStyle name="Heading 1 2" xfId="483"/>
    <cellStyle name="Heading 2 2" xfId="484"/>
    <cellStyle name="Heading 3 2" xfId="485"/>
    <cellStyle name="Heading 4 2" xfId="486"/>
    <cellStyle name="Heading1" xfId="640"/>
    <cellStyle name="Hyperlink 2" xfId="488"/>
    <cellStyle name="Hyperlink 3" xfId="489"/>
    <cellStyle name="Hyperlink 3 2" xfId="727"/>
    <cellStyle name="Hyperlink 3 3" xfId="683"/>
    <cellStyle name="Hyperlink 3 4" xfId="948"/>
    <cellStyle name="Hyperlink 3 5" xfId="908"/>
    <cellStyle name="Hyperlink 3 6" xfId="990"/>
    <cellStyle name="Hyperlink 3 7" xfId="596"/>
    <cellStyle name="Hyperlink 4" xfId="490"/>
    <cellStyle name="Hyperlink 5" xfId="491"/>
    <cellStyle name="Hyperlink 5 2" xfId="492"/>
    <cellStyle name="Hyperlink 5 2 2" xfId="728"/>
    <cellStyle name="Hyperlink 5 2 3" xfId="684"/>
    <cellStyle name="Hyperlink 5 2 4" xfId="949"/>
    <cellStyle name="Hyperlink 5 2 5" xfId="909"/>
    <cellStyle name="Hyperlink 5 2 6" xfId="991"/>
    <cellStyle name="Hyperlink 5 2 7" xfId="597"/>
    <cellStyle name="Hyperlink 6" xfId="493"/>
    <cellStyle name="Hyperlink 7" xfId="494"/>
    <cellStyle name="Input 2" xfId="495"/>
    <cellStyle name="Lien hypertexte" xfId="487" builtinId="8"/>
    <cellStyle name="Lien hypertexte 2" xfId="682"/>
    <cellStyle name="Lien hypertexte 3" xfId="763"/>
    <cellStyle name="Lien hypertexte 4" xfId="598"/>
    <cellStyle name="Lien hypertexte 5" xfId="989"/>
    <cellStyle name="Lien hypertexte 6" xfId="594"/>
    <cellStyle name="Linked Cell 2" xfId="496"/>
    <cellStyle name="Milliers 2" xfId="641"/>
    <cellStyle name="Milliers 3" xfId="636"/>
    <cellStyle name="Milliers 3 2" xfId="670"/>
    <cellStyle name="Milliers 3 2 2" xfId="775"/>
    <cellStyle name="Milliers 3 2 3" xfId="823"/>
    <cellStyle name="Milliers 3 2 4" xfId="871"/>
    <cellStyle name="Milliers 3 3" xfId="766"/>
    <cellStyle name="Milliers 3 4" xfId="814"/>
    <cellStyle name="Milliers 3 5" xfId="862"/>
    <cellStyle name="Milliers 4" xfId="664"/>
    <cellStyle name="Milliers 4 2" xfId="674"/>
    <cellStyle name="Milliers 4 2 2" xfId="779"/>
    <cellStyle name="Milliers 4 2 3" xfId="827"/>
    <cellStyle name="Milliers 4 2 4" xfId="875"/>
    <cellStyle name="Milliers 4 3" xfId="770"/>
    <cellStyle name="Milliers 4 4" xfId="818"/>
    <cellStyle name="Milliers 4 5" xfId="866"/>
    <cellStyle name="Neutral 2" xfId="497"/>
    <cellStyle name="Normal" xfId="0" builtinId="0"/>
    <cellStyle name="Normal 10" xfId="498"/>
    <cellStyle name="Normal 100" xfId="499"/>
    <cellStyle name="Normal 11" xfId="633"/>
    <cellStyle name="Normal 118" xfId="500"/>
    <cellStyle name="Normal 12" xfId="501"/>
    <cellStyle name="Normal 13" xfId="502"/>
    <cellStyle name="Normal 13 10" xfId="599"/>
    <cellStyle name="Normal 13 2" xfId="503"/>
    <cellStyle name="Normal 13 2 2" xfId="504"/>
    <cellStyle name="Normal 13 2 2 2" xfId="505"/>
    <cellStyle name="Normal 13 2 2 2 2" xfId="506"/>
    <cellStyle name="Normal 13 2 2 2 2 2" xfId="786"/>
    <cellStyle name="Normal 13 2 2 2 2 3" xfId="834"/>
    <cellStyle name="Normal 13 2 2 2 2 4" xfId="882"/>
    <cellStyle name="Normal 13 2 2 2 2 5" xfId="987"/>
    <cellStyle name="Normal 13 2 2 2 2 6" xfId="914"/>
    <cellStyle name="Normal 13 2 2 2 2 7" xfId="1028"/>
    <cellStyle name="Normal 13 2 2 2 2 8" xfId="732"/>
    <cellStyle name="Normal 13 2 2 2 3" xfId="507"/>
    <cellStyle name="Normal 13 2 2 2 3 2" xfId="986"/>
    <cellStyle name="Normal 13 2 2 2 3 3" xfId="915"/>
    <cellStyle name="Normal 13 2 2 2 3 4" xfId="1027"/>
    <cellStyle name="Normal 13 2 2 2 3 5" xfId="688"/>
    <cellStyle name="Normal 13 2 2 2 4" xfId="953"/>
    <cellStyle name="Normal 13 2 2 2 5" xfId="913"/>
    <cellStyle name="Normal 13 2 2 2 6" xfId="995"/>
    <cellStyle name="Normal 13 2 2 2 7" xfId="602"/>
    <cellStyle name="Normal 13 2 2 3" xfId="731"/>
    <cellStyle name="Normal 13 2 2 3 2" xfId="785"/>
    <cellStyle name="Normal 13 2 2 3 3" xfId="833"/>
    <cellStyle name="Normal 13 2 2 3 4" xfId="881"/>
    <cellStyle name="Normal 13 2 2 4" xfId="687"/>
    <cellStyle name="Normal 13 2 2 5" xfId="952"/>
    <cellStyle name="Normal 13 2 2 6" xfId="912"/>
    <cellStyle name="Normal 13 2 2 7" xfId="994"/>
    <cellStyle name="Normal 13 2 2 8" xfId="601"/>
    <cellStyle name="Normal 13 2 3" xfId="508"/>
    <cellStyle name="Normal 13 2 3 2" xfId="733"/>
    <cellStyle name="Normal 13 2 3 2 2" xfId="787"/>
    <cellStyle name="Normal 13 2 3 2 3" xfId="835"/>
    <cellStyle name="Normal 13 2 3 2 4" xfId="883"/>
    <cellStyle name="Normal 13 2 3 3" xfId="689"/>
    <cellStyle name="Normal 13 2 3 4" xfId="954"/>
    <cellStyle name="Normal 13 2 3 5" xfId="916"/>
    <cellStyle name="Normal 13 2 3 6" xfId="996"/>
    <cellStyle name="Normal 13 2 3 7" xfId="603"/>
    <cellStyle name="Normal 13 2 4" xfId="730"/>
    <cellStyle name="Normal 13 2 4 2" xfId="784"/>
    <cellStyle name="Normal 13 2 4 3" xfId="832"/>
    <cellStyle name="Normal 13 2 4 4" xfId="880"/>
    <cellStyle name="Normal 13 2 5" xfId="686"/>
    <cellStyle name="Normal 13 2 6" xfId="951"/>
    <cellStyle name="Normal 13 2 7" xfId="911"/>
    <cellStyle name="Normal 13 2 8" xfId="993"/>
    <cellStyle name="Normal 13 2 9" xfId="600"/>
    <cellStyle name="Normal 13 3" xfId="509"/>
    <cellStyle name="Normal 13 3 2" xfId="510"/>
    <cellStyle name="Normal 13 3 2 2" xfId="735"/>
    <cellStyle name="Normal 13 3 2 2 2" xfId="789"/>
    <cellStyle name="Normal 13 3 2 2 3" xfId="837"/>
    <cellStyle name="Normal 13 3 2 2 4" xfId="885"/>
    <cellStyle name="Normal 13 3 2 3" xfId="691"/>
    <cellStyle name="Normal 13 3 2 4" xfId="956"/>
    <cellStyle name="Normal 13 3 2 5" xfId="918"/>
    <cellStyle name="Normal 13 3 2 6" xfId="998"/>
    <cellStyle name="Normal 13 3 2 7" xfId="605"/>
    <cellStyle name="Normal 13 3 3" xfId="734"/>
    <cellStyle name="Normal 13 3 3 2" xfId="788"/>
    <cellStyle name="Normal 13 3 3 3" xfId="836"/>
    <cellStyle name="Normal 13 3 3 4" xfId="884"/>
    <cellStyle name="Normal 13 3 4" xfId="690"/>
    <cellStyle name="Normal 13 3 5" xfId="955"/>
    <cellStyle name="Normal 13 3 6" xfId="917"/>
    <cellStyle name="Normal 13 3 7" xfId="997"/>
    <cellStyle name="Normal 13 3 8" xfId="604"/>
    <cellStyle name="Normal 13 4" xfId="511"/>
    <cellStyle name="Normal 13 4 2" xfId="736"/>
    <cellStyle name="Normal 13 4 2 2" xfId="790"/>
    <cellStyle name="Normal 13 4 2 3" xfId="838"/>
    <cellStyle name="Normal 13 4 2 4" xfId="886"/>
    <cellStyle name="Normal 13 4 3" xfId="692"/>
    <cellStyle name="Normal 13 4 4" xfId="957"/>
    <cellStyle name="Normal 13 4 5" xfId="919"/>
    <cellStyle name="Normal 13 4 6" xfId="999"/>
    <cellStyle name="Normal 13 4 7" xfId="606"/>
    <cellStyle name="Normal 13 5" xfId="729"/>
    <cellStyle name="Normal 13 5 2" xfId="783"/>
    <cellStyle name="Normal 13 5 3" xfId="831"/>
    <cellStyle name="Normal 13 5 4" xfId="879"/>
    <cellStyle name="Normal 13 6" xfId="512"/>
    <cellStyle name="Normal 13 6 2" xfId="985"/>
    <cellStyle name="Normal 13 6 3" xfId="920"/>
    <cellStyle name="Normal 13 6 4" xfId="1026"/>
    <cellStyle name="Normal 13 6 5" xfId="685"/>
    <cellStyle name="Normal 13 7" xfId="950"/>
    <cellStyle name="Normal 13 8" xfId="910"/>
    <cellStyle name="Normal 13 9" xfId="992"/>
    <cellStyle name="Normal 14" xfId="764"/>
    <cellStyle name="Normal 15" xfId="513"/>
    <cellStyle name="Normal 16" xfId="514"/>
    <cellStyle name="Normal 17" xfId="515"/>
    <cellStyle name="Normal 18" xfId="812"/>
    <cellStyle name="Normal 19" xfId="516"/>
    <cellStyle name="Normal 2" xfId="517"/>
    <cellStyle name="Normal 2 2" xfId="518"/>
    <cellStyle name="Normal 2 2 2" xfId="519"/>
    <cellStyle name="Normal 2 2 2 2" xfId="737"/>
    <cellStyle name="Normal 2 2 2 2 2" xfId="791"/>
    <cellStyle name="Normal 2 2 2 2 3" xfId="839"/>
    <cellStyle name="Normal 2 2 2 2 4" xfId="887"/>
    <cellStyle name="Normal 2 2 2 3" xfId="695"/>
    <cellStyle name="Normal 2 2 2 4" xfId="958"/>
    <cellStyle name="Normal 2 2 2 5" xfId="921"/>
    <cellStyle name="Normal 2 2 2 6" xfId="1000"/>
    <cellStyle name="Normal 2 2 2 7" xfId="607"/>
    <cellStyle name="Normal 2 2 3" xfId="520"/>
    <cellStyle name="Normal 2 2 3 2" xfId="738"/>
    <cellStyle name="Normal 2 2 3 2 2" xfId="792"/>
    <cellStyle name="Normal 2 2 3 2 3" xfId="840"/>
    <cellStyle name="Normal 2 2 3 2 4" xfId="888"/>
    <cellStyle name="Normal 2 2 3 3" xfId="696"/>
    <cellStyle name="Normal 2 2 3 4" xfId="959"/>
    <cellStyle name="Normal 2 2 3 5" xfId="922"/>
    <cellStyle name="Normal 2 2 3 6" xfId="1001"/>
    <cellStyle name="Normal 2 2 3 7" xfId="608"/>
    <cellStyle name="Normal 2 2 4" xfId="694"/>
    <cellStyle name="Normal 2 2 5" xfId="643"/>
    <cellStyle name="Normal 2 3" xfId="521"/>
    <cellStyle name="Normal 2 3 2" xfId="522"/>
    <cellStyle name="Normal 2 3 2 2" xfId="739"/>
    <cellStyle name="Normal 2 3 2 2 2" xfId="793"/>
    <cellStyle name="Normal 2 3 2 2 3" xfId="841"/>
    <cellStyle name="Normal 2 3 2 2 4" xfId="889"/>
    <cellStyle name="Normal 2 3 2 3" xfId="697"/>
    <cellStyle name="Normal 2 3 2 4" xfId="960"/>
    <cellStyle name="Normal 2 3 2 5" xfId="923"/>
    <cellStyle name="Normal 2 3 2 6" xfId="1002"/>
    <cellStyle name="Normal 2 3 2 7" xfId="609"/>
    <cellStyle name="Normal 2 4" xfId="523"/>
    <cellStyle name="Normal 2 4 2" xfId="524"/>
    <cellStyle name="Normal 2 4 2 2" xfId="740"/>
    <cellStyle name="Normal 2 4 2 2 2" xfId="794"/>
    <cellStyle name="Normal 2 4 2 2 3" xfId="842"/>
    <cellStyle name="Normal 2 4 2 2 4" xfId="890"/>
    <cellStyle name="Normal 2 4 2 3" xfId="698"/>
    <cellStyle name="Normal 2 4 2 4" xfId="961"/>
    <cellStyle name="Normal 2 4 2 5" xfId="924"/>
    <cellStyle name="Normal 2 4 2 6" xfId="1003"/>
    <cellStyle name="Normal 2 4 2 7" xfId="610"/>
    <cellStyle name="Normal 2 5" xfId="525"/>
    <cellStyle name="Normal 2 5 2" xfId="962"/>
    <cellStyle name="Normal 2 5 3" xfId="925"/>
    <cellStyle name="Normal 2 5 4" xfId="1004"/>
    <cellStyle name="Normal 2 5 5" xfId="611"/>
    <cellStyle name="Normal 2 6" xfId="693"/>
    <cellStyle name="Normal 2 7" xfId="642"/>
    <cellStyle name="Normal 20" xfId="860"/>
    <cellStyle name="Normal 21" xfId="595"/>
    <cellStyle name="Normal 22" xfId="988"/>
    <cellStyle name="Normal 23" xfId="526"/>
    <cellStyle name="Normal 24" xfId="593"/>
    <cellStyle name="Normal 3" xfId="527"/>
    <cellStyle name="Normal 3 2" xfId="528"/>
    <cellStyle name="Normal 3 2 10" xfId="1005"/>
    <cellStyle name="Normal 3 2 11" xfId="529"/>
    <cellStyle name="Normal 3 2 12" xfId="612"/>
    <cellStyle name="Normal 3 2 2" xfId="678"/>
    <cellStyle name="Normal 3 2 2 2" xfId="782"/>
    <cellStyle name="Normal 3 2 2 3" xfId="830"/>
    <cellStyle name="Normal 3 2 2 4" xfId="878"/>
    <cellStyle name="Normal 3 2 3" xfId="700"/>
    <cellStyle name="Normal 3 2 4" xfId="668"/>
    <cellStyle name="Normal 3 2 5" xfId="773"/>
    <cellStyle name="Normal 3 2 6" xfId="821"/>
    <cellStyle name="Normal 3 2 7" xfId="869"/>
    <cellStyle name="Normal 3 2 8" xfId="963"/>
    <cellStyle name="Normal 3 2 9" xfId="926"/>
    <cellStyle name="Normal 3 3" xfId="530"/>
    <cellStyle name="Normal 3 3 2" xfId="742"/>
    <cellStyle name="Normal 3 3 3" xfId="701"/>
    <cellStyle name="Normal 3 4" xfId="531"/>
    <cellStyle name="Normal 3 4 2" xfId="743"/>
    <cellStyle name="Normal 3 4 2 2" xfId="795"/>
    <cellStyle name="Normal 3 4 2 3" xfId="843"/>
    <cellStyle name="Normal 3 4 2 4" xfId="891"/>
    <cellStyle name="Normal 3 4 3" xfId="702"/>
    <cellStyle name="Normal 3 4 4" xfId="964"/>
    <cellStyle name="Normal 3 4 5" xfId="927"/>
    <cellStyle name="Normal 3 4 6" xfId="1006"/>
    <cellStyle name="Normal 3 4 7" xfId="613"/>
    <cellStyle name="Normal 3 5" xfId="699"/>
    <cellStyle name="Normal 3 6" xfId="741"/>
    <cellStyle name="Normal 3 7" xfId="644"/>
    <cellStyle name="Normal 3 8" xfId="532"/>
    <cellStyle name="Normal 3 8 2" xfId="533"/>
    <cellStyle name="Normal 3 8 2 2" xfId="534"/>
    <cellStyle name="Normal 3 8 2 2 2" xfId="746"/>
    <cellStyle name="Normal 3 8 2 2 2 2" xfId="798"/>
    <cellStyle name="Normal 3 8 2 2 2 3" xfId="846"/>
    <cellStyle name="Normal 3 8 2 2 2 4" xfId="894"/>
    <cellStyle name="Normal 3 8 2 2 3" xfId="705"/>
    <cellStyle name="Normal 3 8 2 2 4" xfId="967"/>
    <cellStyle name="Normal 3 8 2 2 5" xfId="930"/>
    <cellStyle name="Normal 3 8 2 2 6" xfId="1009"/>
    <cellStyle name="Normal 3 8 2 2 7" xfId="616"/>
    <cellStyle name="Normal 3 8 2 3" xfId="745"/>
    <cellStyle name="Normal 3 8 2 3 2" xfId="797"/>
    <cellStyle name="Normal 3 8 2 3 3" xfId="845"/>
    <cellStyle name="Normal 3 8 2 3 4" xfId="893"/>
    <cellStyle name="Normal 3 8 2 4" xfId="704"/>
    <cellStyle name="Normal 3 8 2 5" xfId="966"/>
    <cellStyle name="Normal 3 8 2 6" xfId="929"/>
    <cellStyle name="Normal 3 8 2 7" xfId="1008"/>
    <cellStyle name="Normal 3 8 2 8" xfId="615"/>
    <cellStyle name="Normal 3 8 3" xfId="535"/>
    <cellStyle name="Normal 3 8 3 2" xfId="747"/>
    <cellStyle name="Normal 3 8 3 2 2" xfId="799"/>
    <cellStyle name="Normal 3 8 3 2 3" xfId="847"/>
    <cellStyle name="Normal 3 8 3 2 4" xfId="895"/>
    <cellStyle name="Normal 3 8 3 3" xfId="706"/>
    <cellStyle name="Normal 3 8 3 4" xfId="968"/>
    <cellStyle name="Normal 3 8 3 5" xfId="931"/>
    <cellStyle name="Normal 3 8 3 6" xfId="1010"/>
    <cellStyle name="Normal 3 8 3 7" xfId="617"/>
    <cellStyle name="Normal 3 8 4" xfId="744"/>
    <cellStyle name="Normal 3 8 4 2" xfId="796"/>
    <cellStyle name="Normal 3 8 4 3" xfId="844"/>
    <cellStyle name="Normal 3 8 4 4" xfId="892"/>
    <cellStyle name="Normal 3 8 5" xfId="703"/>
    <cellStyle name="Normal 3 8 6" xfId="965"/>
    <cellStyle name="Normal 3 8 7" xfId="928"/>
    <cellStyle name="Normal 3 8 8" xfId="1007"/>
    <cellStyle name="Normal 3 8 9" xfId="614"/>
    <cellStyle name="Normal 4" xfId="536"/>
    <cellStyle name="Normal 4 2" xfId="537"/>
    <cellStyle name="Normal 4 2 2" xfId="708"/>
    <cellStyle name="Normal 4 2 3" xfId="748"/>
    <cellStyle name="Normal 4 2 3 2" xfId="800"/>
    <cellStyle name="Normal 4 2 3 3" xfId="848"/>
    <cellStyle name="Normal 4 2 3 4" xfId="896"/>
    <cellStyle name="Normal 4 2 4" xfId="662"/>
    <cellStyle name="Normal 4 2 5" xfId="969"/>
    <cellStyle name="Normal 4 2 6" xfId="932"/>
    <cellStyle name="Normal 4 2 7" xfId="1011"/>
    <cellStyle name="Normal 4 2 8" xfId="618"/>
    <cellStyle name="Normal 4 3" xfId="538"/>
    <cellStyle name="Normal 4 4" xfId="539"/>
    <cellStyle name="Normal 4 4 2" xfId="749"/>
    <cellStyle name="Normal 4 4 2 2" xfId="801"/>
    <cellStyle name="Normal 4 4 2 3" xfId="849"/>
    <cellStyle name="Normal 4 4 2 4" xfId="897"/>
    <cellStyle name="Normal 4 4 3" xfId="709"/>
    <cellStyle name="Normal 4 4 4" xfId="970"/>
    <cellStyle name="Normal 4 4 5" xfId="933"/>
    <cellStyle name="Normal 4 4 6" xfId="1012"/>
    <cellStyle name="Normal 4 4 7" xfId="619"/>
    <cellStyle name="Normal 4 5" xfId="707"/>
    <cellStyle name="Normal 4 6" xfId="645"/>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11"/>
    <cellStyle name="Normal 5 2 3" xfId="751"/>
    <cellStyle name="Normal 5 2 4" xfId="661"/>
    <cellStyle name="Normal 5 3" xfId="550"/>
    <cellStyle name="Normal 5 3 2" xfId="752"/>
    <cellStyle name="Normal 5 3 2 2" xfId="802"/>
    <cellStyle name="Normal 5 3 2 3" xfId="850"/>
    <cellStyle name="Normal 5 3 2 4" xfId="898"/>
    <cellStyle name="Normal 5 3 3" xfId="712"/>
    <cellStyle name="Normal 5 3 4" xfId="971"/>
    <cellStyle name="Normal 5 3 5" xfId="934"/>
    <cellStyle name="Normal 5 3 6" xfId="1013"/>
    <cellStyle name="Normal 5 3 7" xfId="620"/>
    <cellStyle name="Normal 5 4" xfId="710"/>
    <cellStyle name="Normal 5 5" xfId="750"/>
    <cellStyle name="Normal 5 6" xfId="646"/>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35"/>
    <cellStyle name="Normal 6 11" xfId="1014"/>
    <cellStyle name="Normal 6 12" xfId="621"/>
    <cellStyle name="Normal 6 2" xfId="565"/>
    <cellStyle name="Normal 6 2 2" xfId="677"/>
    <cellStyle name="Normal 6 2 3" xfId="714"/>
    <cellStyle name="Normal 6 2 4" xfId="753"/>
    <cellStyle name="Normal 6 2 4 2" xfId="803"/>
    <cellStyle name="Normal 6 2 4 3" xfId="851"/>
    <cellStyle name="Normal 6 2 4 4" xfId="899"/>
    <cellStyle name="Normal 6 2 5" xfId="667"/>
    <cellStyle name="Normal 6 2 6" xfId="973"/>
    <cellStyle name="Normal 6 2 7" xfId="936"/>
    <cellStyle name="Normal 6 2 8" xfId="1015"/>
    <cellStyle name="Normal 6 2 9" xfId="622"/>
    <cellStyle name="Normal 6 3" xfId="566"/>
    <cellStyle name="Normal 6 3 2" xfId="715"/>
    <cellStyle name="Normal 6 3 3" xfId="669"/>
    <cellStyle name="Normal 6 3 4" xfId="774"/>
    <cellStyle name="Normal 6 3 5" xfId="822"/>
    <cellStyle name="Normal 6 3 6" xfId="870"/>
    <cellStyle name="Normal 6 4" xfId="713"/>
    <cellStyle name="Normal 6 5" xfId="635"/>
    <cellStyle name="Normal 6 6" xfId="765"/>
    <cellStyle name="Normal 6 7" xfId="813"/>
    <cellStyle name="Normal 6 8" xfId="861"/>
    <cellStyle name="Normal 6 9" xfId="972"/>
    <cellStyle name="Normal 7" xfId="567"/>
    <cellStyle name="Normal 7 2" xfId="568"/>
    <cellStyle name="Normal 7 2 10" xfId="1016"/>
    <cellStyle name="Normal 7 2 11" xfId="623"/>
    <cellStyle name="Normal 7 2 2" xfId="717"/>
    <cellStyle name="Normal 7 2 3" xfId="754"/>
    <cellStyle name="Normal 7 2 4" xfId="673"/>
    <cellStyle name="Normal 7 2 5" xfId="778"/>
    <cellStyle name="Normal 7 2 6" xfId="826"/>
    <cellStyle name="Normal 7 2 7" xfId="874"/>
    <cellStyle name="Normal 7 2 8" xfId="974"/>
    <cellStyle name="Normal 7 2 9" xfId="937"/>
    <cellStyle name="Normal 7 3" xfId="716"/>
    <cellStyle name="Normal 7 4" xfId="663"/>
    <cellStyle name="Normal 7 5" xfId="769"/>
    <cellStyle name="Normal 7 6" xfId="817"/>
    <cellStyle name="Normal 7 7" xfId="865"/>
    <cellStyle name="Normal 8" xfId="569"/>
    <cellStyle name="Normal 8 2" xfId="983"/>
    <cellStyle name="Normal 8 3" xfId="938"/>
    <cellStyle name="Normal 8 4" xfId="1025"/>
    <cellStyle name="Normal 8 5" xfId="634"/>
    <cellStyle name="Normal 8 6" xfId="592"/>
    <cellStyle name="Normal 9" xfId="679"/>
    <cellStyle name="Normal 9 2" xfId="984"/>
    <cellStyle name="Normal 9 3" xfId="947"/>
    <cellStyle name="Normal_Sheet1" xfId="570"/>
    <cellStyle name="Note 2" xfId="571"/>
    <cellStyle name="Output 2" xfId="572"/>
    <cellStyle name="Percent 2" xfId="573"/>
    <cellStyle name="Pourcentage 2" xfId="660"/>
    <cellStyle name="Pourcentage 2 2" xfId="672"/>
    <cellStyle name="Pourcentage 2 2 2" xfId="777"/>
    <cellStyle name="Pourcentage 2 2 3" xfId="825"/>
    <cellStyle name="Pourcentage 2 2 4" xfId="873"/>
    <cellStyle name="Pourcentage 2 3" xfId="768"/>
    <cellStyle name="Pourcentage 2 4" xfId="816"/>
    <cellStyle name="Pourcentage 2 5" xfId="864"/>
    <cellStyle name="Pourcentage 3" xfId="666"/>
    <cellStyle name="Pourcentage 3 2" xfId="676"/>
    <cellStyle name="Pourcentage 3 2 2" xfId="781"/>
    <cellStyle name="Pourcentage 3 2 3" xfId="829"/>
    <cellStyle name="Pourcentage 3 2 4" xfId="877"/>
    <cellStyle name="Pourcentage 3 3" xfId="772"/>
    <cellStyle name="Pourcentage 3 4" xfId="820"/>
    <cellStyle name="Pourcentage 3 5" xfId="868"/>
    <cellStyle name="Result" xfId="647"/>
    <cellStyle name="Result2" xfId="648"/>
    <cellStyle name="Standard 3" xfId="574"/>
    <cellStyle name="Standard 4" xfId="575"/>
    <cellStyle name="Standard 4 10" xfId="624"/>
    <cellStyle name="Standard 4 2" xfId="576"/>
    <cellStyle name="Standard 4 2 2" xfId="577"/>
    <cellStyle name="Standard 4 2 2 2" xfId="578"/>
    <cellStyle name="Standard 4 2 2 2 2" xfId="758"/>
    <cellStyle name="Standard 4 2 2 2 2 2" xfId="807"/>
    <cellStyle name="Standard 4 2 2 2 2 3" xfId="855"/>
    <cellStyle name="Standard 4 2 2 2 2 4" xfId="903"/>
    <cellStyle name="Standard 4 2 2 2 3" xfId="721"/>
    <cellStyle name="Standard 4 2 2 2 4" xfId="978"/>
    <cellStyle name="Standard 4 2 2 2 5" xfId="942"/>
    <cellStyle name="Standard 4 2 2 2 6" xfId="1020"/>
    <cellStyle name="Standard 4 2 2 2 7" xfId="627"/>
    <cellStyle name="Standard 4 2 2 3" xfId="757"/>
    <cellStyle name="Standard 4 2 2 3 2" xfId="806"/>
    <cellStyle name="Standard 4 2 2 3 3" xfId="854"/>
    <cellStyle name="Standard 4 2 2 3 4" xfId="902"/>
    <cellStyle name="Standard 4 2 2 4" xfId="720"/>
    <cellStyle name="Standard 4 2 2 5" xfId="977"/>
    <cellStyle name="Standard 4 2 2 6" xfId="941"/>
    <cellStyle name="Standard 4 2 2 7" xfId="1019"/>
    <cellStyle name="Standard 4 2 2 8" xfId="626"/>
    <cellStyle name="Standard 4 2 3" xfId="579"/>
    <cellStyle name="Standard 4 2 3 2" xfId="759"/>
    <cellStyle name="Standard 4 2 3 2 2" xfId="808"/>
    <cellStyle name="Standard 4 2 3 2 3" xfId="856"/>
    <cellStyle name="Standard 4 2 3 2 4" xfId="904"/>
    <cellStyle name="Standard 4 2 3 3" xfId="722"/>
    <cellStyle name="Standard 4 2 3 4" xfId="979"/>
    <cellStyle name="Standard 4 2 3 5" xfId="943"/>
    <cellStyle name="Standard 4 2 3 6" xfId="1021"/>
    <cellStyle name="Standard 4 2 3 7" xfId="628"/>
    <cellStyle name="Standard 4 2 4" xfId="756"/>
    <cellStyle name="Standard 4 2 4 2" xfId="805"/>
    <cellStyle name="Standard 4 2 4 3" xfId="853"/>
    <cellStyle name="Standard 4 2 4 4" xfId="901"/>
    <cellStyle name="Standard 4 2 5" xfId="719"/>
    <cellStyle name="Standard 4 2 6" xfId="976"/>
    <cellStyle name="Standard 4 2 7" xfId="940"/>
    <cellStyle name="Standard 4 2 8" xfId="1018"/>
    <cellStyle name="Standard 4 2 9" xfId="625"/>
    <cellStyle name="Standard 4 3" xfId="580"/>
    <cellStyle name="Standard 4 3 2" xfId="581"/>
    <cellStyle name="Standard 4 3 2 2" xfId="761"/>
    <cellStyle name="Standard 4 3 2 2 2" xfId="810"/>
    <cellStyle name="Standard 4 3 2 2 3" xfId="858"/>
    <cellStyle name="Standard 4 3 2 2 4" xfId="906"/>
    <cellStyle name="Standard 4 3 2 3" xfId="724"/>
    <cellStyle name="Standard 4 3 2 4" xfId="981"/>
    <cellStyle name="Standard 4 3 2 5" xfId="945"/>
    <cellStyle name="Standard 4 3 2 6" xfId="1023"/>
    <cellStyle name="Standard 4 3 2 7" xfId="630"/>
    <cellStyle name="Standard 4 3 3" xfId="760"/>
    <cellStyle name="Standard 4 3 3 2" xfId="809"/>
    <cellStyle name="Standard 4 3 3 3" xfId="857"/>
    <cellStyle name="Standard 4 3 3 4" xfId="905"/>
    <cellStyle name="Standard 4 3 4" xfId="723"/>
    <cellStyle name="Standard 4 3 5" xfId="980"/>
    <cellStyle name="Standard 4 3 6" xfId="944"/>
    <cellStyle name="Standard 4 3 7" xfId="1022"/>
    <cellStyle name="Standard 4 3 8" xfId="629"/>
    <cellStyle name="Standard 4 4" xfId="582"/>
    <cellStyle name="Standard 4 4 2" xfId="762"/>
    <cellStyle name="Standard 4 4 2 2" xfId="811"/>
    <cellStyle name="Standard 4 4 2 3" xfId="859"/>
    <cellStyle name="Standard 4 4 2 4" xfId="907"/>
    <cellStyle name="Standard 4 4 3" xfId="725"/>
    <cellStyle name="Standard 4 4 4" xfId="982"/>
    <cellStyle name="Standard 4 4 5" xfId="946"/>
    <cellStyle name="Standard 4 4 6" xfId="1024"/>
    <cellStyle name="Standard 4 4 7" xfId="631"/>
    <cellStyle name="Standard 4 5" xfId="755"/>
    <cellStyle name="Standard 4 5 2" xfId="804"/>
    <cellStyle name="Standard 4 5 3" xfId="852"/>
    <cellStyle name="Standard 4 5 4" xfId="900"/>
    <cellStyle name="Standard 4 6" xfId="718"/>
    <cellStyle name="Standard 4 7" xfId="975"/>
    <cellStyle name="Standard 4 8" xfId="939"/>
    <cellStyle name="Standard 4 9" xfId="1017"/>
    <cellStyle name="Standard 6" xfId="583"/>
    <cellStyle name="Title 2" xfId="584"/>
    <cellStyle name="Total 2" xfId="585"/>
    <cellStyle name="Warning Text 2" xfId="586"/>
    <cellStyle name="표준 2" xfId="587"/>
    <cellStyle name="一般 7" xfId="588"/>
    <cellStyle name="千位分隔 2" xfId="649"/>
    <cellStyle name="常规 10" xfId="650"/>
    <cellStyle name="常规 11" xfId="651"/>
    <cellStyle name="常规 2" xfId="652"/>
    <cellStyle name="常规 3" xfId="653"/>
    <cellStyle name="常规 4" xfId="654"/>
    <cellStyle name="常规 5" xfId="655"/>
    <cellStyle name="常规 6" xfId="656"/>
    <cellStyle name="常规 6 2" xfId="665"/>
    <cellStyle name="常规 6 2 2" xfId="675"/>
    <cellStyle name="常规 6 2 2 2" xfId="780"/>
    <cellStyle name="常规 6 2 2 3" xfId="828"/>
    <cellStyle name="常规 6 2 2 4" xfId="876"/>
    <cellStyle name="常规 6 2 3" xfId="771"/>
    <cellStyle name="常规 6 2 4" xfId="819"/>
    <cellStyle name="常规 6 2 5" xfId="867"/>
    <cellStyle name="常规 6 3" xfId="671"/>
    <cellStyle name="常规 6 3 2" xfId="776"/>
    <cellStyle name="常规 6 3 3" xfId="824"/>
    <cellStyle name="常规 6 3 4" xfId="872"/>
    <cellStyle name="常规 6 4" xfId="767"/>
    <cellStyle name="常规 6 5" xfId="815"/>
    <cellStyle name="常规 6 6" xfId="863"/>
    <cellStyle name="常规 7" xfId="657"/>
    <cellStyle name="常规 8" xfId="658"/>
    <cellStyle name="常规 9" xfId="659"/>
    <cellStyle name="標準 2" xfId="589"/>
    <cellStyle name="標準 2 2" xfId="590"/>
    <cellStyle name="標準 2 3" xfId="591"/>
    <cellStyle name="標準_Sheet1" xfId="632"/>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9"/>
      <c r="B2" s="38" t="s">
        <v>975</v>
      </c>
      <c r="C2" s="36"/>
      <c r="D2" s="227"/>
      <c r="E2" s="3"/>
      <c r="F2" s="36"/>
      <c r="G2" s="34"/>
    </row>
    <row r="3" spans="1:7">
      <c r="A3" s="349"/>
      <c r="B3" s="5" t="s">
        <v>964</v>
      </c>
      <c r="C3" s="6"/>
      <c r="D3" s="228"/>
      <c r="E3" s="3"/>
      <c r="F3" s="6"/>
      <c r="G3" s="34"/>
    </row>
    <row r="4" spans="1:7" ht="15.75">
      <c r="A4" s="349"/>
      <c r="B4" s="41" t="s">
        <v>977</v>
      </c>
      <c r="C4" s="7"/>
      <c r="D4" s="229"/>
      <c r="E4" s="3"/>
      <c r="F4" s="7"/>
      <c r="G4" s="34"/>
    </row>
    <row r="5" spans="1:7">
      <c r="A5" s="349"/>
      <c r="B5" s="40" t="s">
        <v>1169</v>
      </c>
      <c r="C5" s="4"/>
      <c r="D5" s="230"/>
      <c r="E5" s="3"/>
      <c r="F5" s="4"/>
      <c r="G5" s="34"/>
    </row>
    <row r="6" spans="1:7">
      <c r="A6" s="349"/>
      <c r="B6" s="8"/>
      <c r="C6" s="8"/>
      <c r="D6" s="231"/>
      <c r="E6" s="8"/>
      <c r="F6" s="8"/>
      <c r="G6" s="34"/>
    </row>
    <row r="7" spans="1:7">
      <c r="A7" s="349"/>
      <c r="B7" s="8"/>
      <c r="C7" s="8"/>
      <c r="D7" s="231"/>
      <c r="E7" s="8"/>
      <c r="F7" s="8"/>
      <c r="G7" s="34"/>
    </row>
    <row r="8" spans="1:7">
      <c r="A8" s="349"/>
      <c r="B8" s="8"/>
      <c r="C8" s="8"/>
      <c r="D8" s="231"/>
      <c r="E8" s="8"/>
      <c r="F8" s="8"/>
      <c r="G8" s="34"/>
    </row>
    <row r="9" spans="1:7">
      <c r="A9" s="349"/>
      <c r="B9" s="352" t="s">
        <v>978</v>
      </c>
      <c r="C9" s="352"/>
      <c r="D9" s="352"/>
      <c r="E9" s="352"/>
      <c r="F9" s="352"/>
      <c r="G9" s="34"/>
    </row>
    <row r="10" spans="1:7" ht="27" customHeight="1">
      <c r="A10" s="349"/>
      <c r="B10" s="353" t="s">
        <v>511</v>
      </c>
      <c r="C10" s="353"/>
      <c r="D10" s="353"/>
      <c r="E10" s="353"/>
      <c r="F10" s="353"/>
      <c r="G10" s="34"/>
    </row>
    <row r="11" spans="1:7" ht="27" customHeight="1">
      <c r="A11" s="349"/>
      <c r="B11" s="354"/>
      <c r="C11" s="354"/>
      <c r="D11" s="354"/>
      <c r="E11" s="354"/>
      <c r="F11" s="354"/>
      <c r="G11" s="34"/>
    </row>
    <row r="12" spans="1:7" ht="16.5">
      <c r="A12" s="349"/>
      <c r="B12" s="42" t="s">
        <v>976</v>
      </c>
      <c r="C12" s="43" t="s">
        <v>979</v>
      </c>
      <c r="D12" s="232" t="s">
        <v>980</v>
      </c>
      <c r="E12" s="43" t="s">
        <v>706</v>
      </c>
      <c r="F12" s="43" t="s">
        <v>707</v>
      </c>
      <c r="G12" s="34"/>
    </row>
    <row r="13" spans="1:7" ht="33.75">
      <c r="A13" s="349"/>
      <c r="B13" s="2">
        <v>1</v>
      </c>
      <c r="C13" s="37" t="s">
        <v>1220</v>
      </c>
      <c r="D13" s="39" t="s">
        <v>1004</v>
      </c>
      <c r="E13" s="214" t="s">
        <v>981</v>
      </c>
      <c r="F13" s="214"/>
      <c r="G13" s="34"/>
    </row>
    <row r="14" spans="1:7" ht="33.75">
      <c r="A14" s="349"/>
      <c r="B14" s="2">
        <v>2</v>
      </c>
      <c r="C14" s="37" t="s">
        <v>1220</v>
      </c>
      <c r="D14" s="39" t="s">
        <v>1154</v>
      </c>
      <c r="E14" s="214" t="s">
        <v>607</v>
      </c>
      <c r="F14" s="214" t="s">
        <v>608</v>
      </c>
      <c r="G14" s="34"/>
    </row>
    <row r="15" spans="1:7" ht="89.1" customHeight="1">
      <c r="A15" s="349"/>
      <c r="B15" s="355">
        <v>2.0099999999999998</v>
      </c>
      <c r="C15" s="358" t="s">
        <v>1220</v>
      </c>
      <c r="D15" s="361" t="s">
        <v>2745</v>
      </c>
      <c r="E15" s="215" t="s">
        <v>708</v>
      </c>
      <c r="F15" s="215" t="s">
        <v>711</v>
      </c>
      <c r="G15" s="34"/>
    </row>
    <row r="16" spans="1:7" ht="99" customHeight="1">
      <c r="A16" s="349"/>
      <c r="B16" s="356"/>
      <c r="C16" s="359"/>
      <c r="D16" s="362"/>
      <c r="E16" s="216"/>
      <c r="F16" s="216" t="s">
        <v>709</v>
      </c>
      <c r="G16" s="34"/>
    </row>
    <row r="17" spans="1:7" ht="63" customHeight="1">
      <c r="A17" s="349"/>
      <c r="B17" s="357"/>
      <c r="C17" s="360"/>
      <c r="D17" s="363"/>
      <c r="E17" s="37"/>
      <c r="F17" s="37" t="s">
        <v>710</v>
      </c>
      <c r="G17" s="34"/>
    </row>
    <row r="18" spans="1:7" ht="117" customHeight="1">
      <c r="A18" s="349"/>
      <c r="B18" s="355">
        <v>2.02</v>
      </c>
      <c r="C18" s="358" t="s">
        <v>1220</v>
      </c>
      <c r="D18" s="361" t="s">
        <v>2746</v>
      </c>
      <c r="E18" s="215" t="s">
        <v>512</v>
      </c>
      <c r="F18" s="215" t="s">
        <v>601</v>
      </c>
      <c r="G18" s="34"/>
    </row>
    <row r="19" spans="1:7" ht="71.099999999999994" customHeight="1">
      <c r="A19" s="349"/>
      <c r="B19" s="356"/>
      <c r="C19" s="359"/>
      <c r="D19" s="362"/>
      <c r="E19" s="216" t="s">
        <v>606</v>
      </c>
      <c r="F19" s="216" t="s">
        <v>513</v>
      </c>
      <c r="G19" s="34"/>
    </row>
    <row r="20" spans="1:7" ht="90.75" customHeight="1">
      <c r="A20" s="349"/>
      <c r="B20" s="356"/>
      <c r="C20" s="359"/>
      <c r="D20" s="362"/>
      <c r="E20" s="216"/>
      <c r="F20" s="216" t="s">
        <v>713</v>
      </c>
      <c r="G20" s="34"/>
    </row>
    <row r="21" spans="1:7" ht="74.25" customHeight="1">
      <c r="A21" s="349"/>
      <c r="B21" s="357"/>
      <c r="C21" s="360"/>
      <c r="D21" s="363"/>
      <c r="E21" s="37"/>
      <c r="F21" s="37" t="s">
        <v>712</v>
      </c>
      <c r="G21" s="34"/>
    </row>
    <row r="22" spans="1:7" ht="90" customHeight="1">
      <c r="A22" s="349"/>
      <c r="B22" s="367">
        <v>2.0299999999999998</v>
      </c>
      <c r="C22" s="367" t="s">
        <v>947</v>
      </c>
      <c r="D22" s="370" t="s">
        <v>2747</v>
      </c>
      <c r="E22" s="358" t="s">
        <v>510</v>
      </c>
      <c r="F22" s="215" t="s">
        <v>534</v>
      </c>
      <c r="G22" s="34"/>
    </row>
    <row r="23" spans="1:7" ht="109.5" customHeight="1">
      <c r="A23" s="349"/>
      <c r="B23" s="368"/>
      <c r="C23" s="368"/>
      <c r="D23" s="371"/>
      <c r="E23" s="359"/>
      <c r="F23" s="216" t="s">
        <v>948</v>
      </c>
      <c r="G23" s="34"/>
    </row>
    <row r="24" spans="1:7" ht="74.25" customHeight="1">
      <c r="A24" s="349"/>
      <c r="B24" s="369"/>
      <c r="C24" s="369"/>
      <c r="D24" s="372"/>
      <c r="E24" s="360"/>
      <c r="F24" s="37" t="s">
        <v>509</v>
      </c>
      <c r="G24" s="34"/>
    </row>
    <row r="25" spans="1:7" ht="72" customHeight="1">
      <c r="A25" s="349"/>
      <c r="B25" s="2" t="s">
        <v>532</v>
      </c>
      <c r="C25" s="37" t="s">
        <v>533</v>
      </c>
      <c r="D25" s="39" t="s">
        <v>2748</v>
      </c>
      <c r="E25" s="37" t="s">
        <v>2741</v>
      </c>
      <c r="F25" s="37" t="s">
        <v>535</v>
      </c>
      <c r="G25" s="34"/>
    </row>
    <row r="26" spans="1:7" ht="98.1" customHeight="1">
      <c r="A26" s="349"/>
      <c r="B26" s="364">
        <v>3</v>
      </c>
      <c r="C26" s="355" t="s">
        <v>79</v>
      </c>
      <c r="D26" s="361" t="s">
        <v>2749</v>
      </c>
      <c r="E26" s="358" t="s">
        <v>0</v>
      </c>
      <c r="F26" s="215" t="s">
        <v>73</v>
      </c>
      <c r="G26" s="34"/>
    </row>
    <row r="27" spans="1:7" ht="90" customHeight="1">
      <c r="A27" s="349"/>
      <c r="B27" s="365"/>
      <c r="C27" s="356"/>
      <c r="D27" s="362"/>
      <c r="E27" s="359"/>
      <c r="F27" s="216" t="s">
        <v>68</v>
      </c>
      <c r="G27" s="34"/>
    </row>
    <row r="28" spans="1:7" ht="19.350000000000001" customHeight="1">
      <c r="A28" s="349"/>
      <c r="B28" s="365"/>
      <c r="C28" s="356"/>
      <c r="D28" s="362"/>
      <c r="E28" s="359"/>
      <c r="F28" s="216" t="s">
        <v>69</v>
      </c>
      <c r="G28" s="34"/>
    </row>
    <row r="29" spans="1:7" ht="74.45" customHeight="1">
      <c r="A29" s="349"/>
      <c r="B29" s="365"/>
      <c r="C29" s="356"/>
      <c r="D29" s="362"/>
      <c r="E29" s="359"/>
      <c r="F29" s="216" t="s">
        <v>70</v>
      </c>
      <c r="G29" s="34"/>
    </row>
    <row r="30" spans="1:7" ht="62.45" customHeight="1">
      <c r="A30" s="349"/>
      <c r="B30" s="365"/>
      <c r="C30" s="356"/>
      <c r="D30" s="362"/>
      <c r="E30" s="359"/>
      <c r="F30" s="216" t="s">
        <v>71</v>
      </c>
      <c r="G30" s="34"/>
    </row>
    <row r="31" spans="1:7" ht="81" customHeight="1">
      <c r="A31" s="349"/>
      <c r="B31" s="365"/>
      <c r="C31" s="356"/>
      <c r="D31" s="362"/>
      <c r="E31" s="359"/>
      <c r="F31" s="216" t="s">
        <v>72</v>
      </c>
      <c r="G31" s="34"/>
    </row>
    <row r="32" spans="1:7" ht="48.75" customHeight="1">
      <c r="A32" s="349"/>
      <c r="B32" s="365"/>
      <c r="C32" s="356"/>
      <c r="D32" s="362"/>
      <c r="E32" s="359"/>
      <c r="F32" s="216" t="s">
        <v>75</v>
      </c>
      <c r="G32" s="34"/>
    </row>
    <row r="33" spans="1:7" ht="98.45" customHeight="1">
      <c r="A33" s="349"/>
      <c r="B33" s="365"/>
      <c r="C33" s="356"/>
      <c r="D33" s="362"/>
      <c r="E33" s="359"/>
      <c r="F33" s="216" t="s">
        <v>74</v>
      </c>
      <c r="G33" s="34"/>
    </row>
    <row r="34" spans="1:7" ht="89.1" customHeight="1">
      <c r="A34" s="349"/>
      <c r="B34" s="365"/>
      <c r="C34" s="356"/>
      <c r="D34" s="362"/>
      <c r="E34" s="359"/>
      <c r="F34" s="216" t="s">
        <v>76</v>
      </c>
      <c r="G34" s="34"/>
    </row>
    <row r="35" spans="1:7" ht="29.1" customHeight="1">
      <c r="A35" s="349"/>
      <c r="B35" s="365"/>
      <c r="C35" s="356"/>
      <c r="D35" s="362"/>
      <c r="E35" s="359"/>
      <c r="F35" s="216" t="s">
        <v>77</v>
      </c>
      <c r="G35" s="34"/>
    </row>
    <row r="36" spans="1:7" ht="126.75">
      <c r="A36" s="349"/>
      <c r="B36" s="366"/>
      <c r="C36" s="357"/>
      <c r="D36" s="363"/>
      <c r="E36" s="360"/>
      <c r="F36" s="217" t="s">
        <v>78</v>
      </c>
      <c r="G36" s="34"/>
    </row>
    <row r="37" spans="1:7" ht="123.75">
      <c r="A37" s="349"/>
      <c r="B37" s="176">
        <v>3.01</v>
      </c>
      <c r="C37" s="177" t="s">
        <v>79</v>
      </c>
      <c r="D37" s="39" t="s">
        <v>2750</v>
      </c>
      <c r="E37" s="218" t="s">
        <v>1475</v>
      </c>
      <c r="F37" s="219" t="s">
        <v>1602</v>
      </c>
      <c r="G37" s="34"/>
    </row>
    <row r="38" spans="1:7" ht="112.5">
      <c r="A38" s="349"/>
      <c r="B38" s="176">
        <v>3.02</v>
      </c>
      <c r="C38" s="177" t="s">
        <v>1509</v>
      </c>
      <c r="D38" s="39" t="s">
        <v>2751</v>
      </c>
      <c r="E38" s="218" t="s">
        <v>1524</v>
      </c>
      <c r="F38" s="219" t="s">
        <v>1603</v>
      </c>
      <c r="G38" s="34"/>
    </row>
    <row r="39" spans="1:7" ht="101.25">
      <c r="A39" s="349"/>
      <c r="B39" s="192">
        <v>4</v>
      </c>
      <c r="C39" s="191" t="s">
        <v>1782</v>
      </c>
      <c r="D39" s="39" t="s">
        <v>2752</v>
      </c>
      <c r="E39" s="37" t="s">
        <v>2680</v>
      </c>
      <c r="F39" s="37" t="s">
        <v>1783</v>
      </c>
      <c r="G39" s="34"/>
    </row>
    <row r="40" spans="1:7" ht="56.25">
      <c r="A40" s="349"/>
      <c r="B40" s="176">
        <v>4.01</v>
      </c>
      <c r="C40" s="191" t="s">
        <v>1782</v>
      </c>
      <c r="D40" s="39" t="s">
        <v>2754</v>
      </c>
      <c r="E40" s="37" t="s">
        <v>2700</v>
      </c>
      <c r="F40" s="37" t="s">
        <v>2706</v>
      </c>
      <c r="G40" s="34"/>
    </row>
    <row r="41" spans="1:7" ht="56.25">
      <c r="A41" s="349"/>
      <c r="B41" s="176" t="s">
        <v>2739</v>
      </c>
      <c r="C41" s="191" t="s">
        <v>1782</v>
      </c>
      <c r="D41" s="39" t="s">
        <v>2753</v>
      </c>
      <c r="E41" s="37" t="s">
        <v>2742</v>
      </c>
      <c r="F41" s="37" t="s">
        <v>2740</v>
      </c>
      <c r="G41" s="34"/>
    </row>
    <row r="42" spans="1:7" ht="56.25">
      <c r="A42" s="349"/>
      <c r="B42" s="176" t="s">
        <v>2791</v>
      </c>
      <c r="C42" s="191" t="s">
        <v>1782</v>
      </c>
      <c r="D42" s="39" t="s">
        <v>2962</v>
      </c>
      <c r="E42" s="37" t="s">
        <v>2741</v>
      </c>
      <c r="F42" s="37" t="s">
        <v>2792</v>
      </c>
      <c r="G42" s="34"/>
    </row>
    <row r="43" spans="1:7" ht="123.75">
      <c r="A43" s="349"/>
      <c r="B43" s="208">
        <v>4.0999999999999996</v>
      </c>
      <c r="C43" s="191" t="s">
        <v>2961</v>
      </c>
      <c r="D43" s="209">
        <v>42867</v>
      </c>
      <c r="E43" s="220" t="s">
        <v>2964</v>
      </c>
      <c r="F43" s="37" t="s">
        <v>2963</v>
      </c>
      <c r="G43" s="34"/>
    </row>
    <row r="44" spans="1:7" ht="78.75">
      <c r="A44" s="349"/>
      <c r="B44" s="208">
        <v>4.2</v>
      </c>
      <c r="C44" s="191" t="s">
        <v>2961</v>
      </c>
      <c r="D44" s="209">
        <v>42704</v>
      </c>
      <c r="E44" s="220" t="s">
        <v>3218</v>
      </c>
      <c r="F44" s="37" t="s">
        <v>3183</v>
      </c>
      <c r="G44" s="34"/>
    </row>
    <row r="45" spans="1:7" ht="157.5">
      <c r="A45" s="349"/>
      <c r="B45" s="287">
        <v>5</v>
      </c>
      <c r="C45" s="191" t="s">
        <v>2961</v>
      </c>
      <c r="D45" s="209">
        <v>42867</v>
      </c>
      <c r="E45" s="220" t="s">
        <v>14010</v>
      </c>
      <c r="F45" s="37" t="s">
        <v>13594</v>
      </c>
      <c r="G45" s="34"/>
    </row>
    <row r="46" spans="1:7" ht="45">
      <c r="A46" s="349"/>
      <c r="B46" s="208">
        <v>5.01</v>
      </c>
      <c r="C46" s="191" t="s">
        <v>2961</v>
      </c>
      <c r="D46" s="209">
        <v>42907</v>
      </c>
      <c r="E46" s="220" t="s">
        <v>14066</v>
      </c>
      <c r="F46" s="37" t="s">
        <v>13594</v>
      </c>
      <c r="G46" s="34"/>
    </row>
    <row r="47" spans="1:7" ht="67.5">
      <c r="A47" s="349"/>
      <c r="B47" s="208">
        <v>5.0999999999999996</v>
      </c>
      <c r="C47" s="191" t="s">
        <v>2961</v>
      </c>
      <c r="D47" s="209">
        <v>43070</v>
      </c>
      <c r="E47" s="220" t="s">
        <v>14292</v>
      </c>
      <c r="F47" s="37" t="s">
        <v>14293</v>
      </c>
      <c r="G47" s="34"/>
    </row>
    <row r="48" spans="1:7" ht="56.25">
      <c r="A48" s="349"/>
      <c r="B48" s="208">
        <v>5.1100000000000003</v>
      </c>
      <c r="C48" s="191" t="s">
        <v>14573</v>
      </c>
      <c r="D48" s="209">
        <v>43217</v>
      </c>
      <c r="E48" s="220" t="s">
        <v>14719</v>
      </c>
      <c r="F48" s="37" t="s">
        <v>14614</v>
      </c>
      <c r="G48" s="34"/>
    </row>
    <row r="49" spans="1:7" ht="13.5" thickBot="1">
      <c r="A49" s="350"/>
      <c r="B49" s="351" t="str">
        <f ca="1">OFFSET(L!$C$1,MATCH("General"&amp;"Cpy",L!$A:$A,0)-1,SL,,)</f>
        <v>© 2018 Responsible Minerals Initiative. All rights reserved.</v>
      </c>
      <c r="C49" s="351"/>
      <c r="D49" s="351"/>
      <c r="E49" s="351"/>
      <c r="F49" s="351"/>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baseColWidth="10"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baseColWidth="10"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3"/>
      <c r="B1" s="374"/>
      <c r="C1" s="374"/>
      <c r="D1" s="375"/>
    </row>
    <row r="2" spans="1:5" ht="71.25" customHeight="1">
      <c r="A2" s="91"/>
      <c r="B2" s="172" t="str">
        <f ca="1">OFFSET(L!$C$1,MATCH("Definitions"&amp;ADDRESS(ROW(),COLUMN(),4),L!$A:$A,0)-1,SL,,)</f>
        <v>ITEM</v>
      </c>
      <c r="C2" s="172" t="str">
        <f ca="1">OFFSET(L!$C$1,MATCH("Definitions"&amp;ADDRESS(ROW(),COLUMN(),4),L!$A:$A,0)-1,SL,,)</f>
        <v>DEFINITION</v>
      </c>
      <c r="D2" s="377"/>
      <c r="E2" s="132"/>
    </row>
    <row r="3" spans="1:5" ht="63.95" customHeight="1">
      <c r="A3" s="91"/>
      <c r="B3" s="78" t="str">
        <f ca="1">OFFSET(L!$C$1,MATCH("Definitions"&amp;ADDRESS(ROW(),COLUMN(),4),L!$A:$A,0)-1,SL,,)</f>
        <v>3TG</v>
      </c>
      <c r="C3" s="78" t="str">
        <f ca="1">OFFSET(L!$C$1,MATCH("Definitions"&amp;ADDRESS(ROW(),COLUMN(),4),L!$A:$A,0)-1,SL,,)</f>
        <v>Tantalum, tin, tungsten, gold</v>
      </c>
      <c r="D3" s="377"/>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7"/>
      <c r="E8" s="133" t="s">
        <v>1458</v>
      </c>
    </row>
    <row r="9" spans="1:5" ht="45">
      <c r="A9" s="91"/>
      <c r="B9" s="78" t="str">
        <f ca="1">OFFSET(L!$C$1,MATCH("Definitions"&amp;ADDRESS(ROW(),COLUMN(),4),L!$A:$A,0)-1,SL,,)</f>
        <v>DRC</v>
      </c>
      <c r="C9" s="78" t="str">
        <f ca="1">OFFSET(L!$C$1,MATCH("Definitions"&amp;ADDRESS(ROW(),COLUMN(),4),L!$A:$A,0)-1,SL,,)</f>
        <v>Democratic Republic of Congo</v>
      </c>
      <c r="D9" s="377"/>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7"/>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7"/>
      <c r="E19" s="133"/>
    </row>
    <row r="20" spans="1:5" ht="15">
      <c r="A20" s="91"/>
      <c r="B20" s="78" t="str">
        <f ca="1">OFFSET(L!$C$1,MATCH("Definitions"&amp;ADDRESS(ROW(),COLUMN(),4),L!$A:$A,0)-1,SL,,)</f>
        <v>RBA</v>
      </c>
      <c r="C20" s="78" t="str">
        <f ca="1">OFFSET(L!$C$1,MATCH("Definitions"&amp;ADDRESS(ROW(),COLUMN(),4),L!$A:$A,0)-1,SL,,)</f>
        <v>Responsible Business Alliance (www.responsiblebusiness.org)</v>
      </c>
      <c r="D20" s="377"/>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7"/>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3"/>
    </row>
    <row r="31" spans="1:5" ht="15">
      <c r="A31" s="91"/>
      <c r="B31" s="376" t="str">
        <f ca="1">OFFSET(L!$C$1,MATCH("General"&amp;"Cpy",L!$A:$A,0)-1,SL,,)</f>
        <v>© 2018 Responsible Minerals Initiative. All rights reserved.</v>
      </c>
      <c r="C31" s="376"/>
      <c r="D31" s="377"/>
      <c r="E31" s="133"/>
    </row>
    <row r="32" spans="1:5" ht="13.5" thickBot="1">
      <c r="A32" s="92"/>
      <c r="B32" s="195"/>
      <c r="C32" s="195"/>
      <c r="D32" s="378"/>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25" zoomScale="70" zoomScaleNormal="70" zoomScalePageLayoutView="70" workbookViewId="0">
      <selection activeCell="B24" sqref="B24:J2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5" t="str">
        <f ca="1">OFFSET(L!$C$1,MATCH("Declaration"&amp;ADDRESS(ROW(),COLUMN(),4),L!$A:$A,0)-1,SL,,)</f>
        <v>Conflict Minerals Reporting Template (CMRT)</v>
      </c>
      <c r="E2" s="406"/>
      <c r="F2" s="406"/>
      <c r="G2" s="406"/>
      <c r="H2" s="406"/>
      <c r="I2" s="406"/>
      <c r="J2" s="40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2"/>
      <c r="G3" s="412"/>
      <c r="H3" s="412"/>
      <c r="I3" s="194"/>
      <c r="J3" s="173" t="s">
        <v>14598</v>
      </c>
      <c r="K3" s="48"/>
      <c r="L3" s="144"/>
      <c r="M3" s="135"/>
      <c r="N3" s="135"/>
      <c r="O3" s="136"/>
      <c r="P3" s="149">
        <f>MATCH($D$3,LN,0)</f>
        <v>1</v>
      </c>
    </row>
    <row r="4" spans="1:34" ht="15.75">
      <c r="A4" s="46"/>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7" t="str">
        <f ca="1">OFFSET(L!$C$1,MATCH("Declaration"&amp;ADDRESS(ROW(),COLUMN(),4),L!$A:$A,0)-1,SL,,)</f>
        <v>Company Information</v>
      </c>
      <c r="C7" s="417"/>
      <c r="D7" s="417"/>
      <c r="E7" s="417"/>
      <c r="F7" s="417"/>
      <c r="G7" s="417"/>
      <c r="H7" s="417"/>
      <c r="I7" s="417"/>
      <c r="J7" s="417"/>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28" t="s">
        <v>15425</v>
      </c>
      <c r="E8" s="429"/>
      <c r="F8" s="429"/>
      <c r="G8" s="429"/>
      <c r="H8" s="429"/>
      <c r="I8" s="429"/>
      <c r="J8" s="43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4" t="s">
        <v>569</v>
      </c>
      <c r="E9" s="415"/>
      <c r="F9" s="415"/>
      <c r="G9" s="416"/>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8" t="str">
        <f ca="1">OFFSET(L!$C$1,MATCH("Declaration"&amp;ADDRESS(ROW(),COLUMN(),4)&amp;LEFT($D$9,1),L!$A:$A,0)-1,SL,,)</f>
        <v>Description of Scope:</v>
      </c>
      <c r="C10" s="156"/>
      <c r="D10" s="409"/>
      <c r="E10" s="410"/>
      <c r="F10" s="410"/>
      <c r="G10" s="410"/>
      <c r="H10" s="410"/>
      <c r="I10" s="410"/>
      <c r="J10" s="41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9"/>
      <c r="C11" s="156"/>
      <c r="D11" s="420" t="str">
        <f ca="1">IF(D9=Q9,OFFSET(L!$C$1,MATCH("Declaration"&amp;ADDRESS(ROW(),COLUMN(),4),L!$A:$A,0)-1,SL,,),"")</f>
        <v/>
      </c>
      <c r="E11" s="421"/>
      <c r="F11" s="421"/>
      <c r="G11" s="421"/>
      <c r="H11" s="421"/>
      <c r="I11" s="421"/>
      <c r="J11" s="42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31" t="s">
        <v>15426</v>
      </c>
      <c r="E12" s="432"/>
      <c r="F12" s="432"/>
      <c r="G12" s="432"/>
      <c r="H12" s="432"/>
      <c r="I12" s="432"/>
      <c r="J12" s="43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31" t="s">
        <v>15427</v>
      </c>
      <c r="E13" s="432"/>
      <c r="F13" s="432"/>
      <c r="G13" s="432"/>
      <c r="H13" s="432"/>
      <c r="I13" s="432"/>
      <c r="J13" s="43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31" t="s">
        <v>15428</v>
      </c>
      <c r="E14" s="432"/>
      <c r="F14" s="432"/>
      <c r="G14" s="432"/>
      <c r="H14" s="432"/>
      <c r="I14" s="432"/>
      <c r="J14" s="43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31" t="s">
        <v>15429</v>
      </c>
      <c r="E15" s="432"/>
      <c r="F15" s="432"/>
      <c r="G15" s="432"/>
      <c r="H15" s="432"/>
      <c r="I15" s="432"/>
      <c r="J15" s="43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34" t="s">
        <v>15454</v>
      </c>
      <c r="E16" s="435"/>
      <c r="F16" s="435"/>
      <c r="G16" s="435"/>
      <c r="H16" s="435"/>
      <c r="I16" s="435"/>
      <c r="J16" s="43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31" t="s">
        <v>15431</v>
      </c>
      <c r="E17" s="432"/>
      <c r="F17" s="432"/>
      <c r="G17" s="432"/>
      <c r="H17" s="432"/>
      <c r="I17" s="432"/>
      <c r="J17" s="43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31" t="s">
        <v>15429</v>
      </c>
      <c r="E18" s="432"/>
      <c r="F18" s="432"/>
      <c r="G18" s="432"/>
      <c r="H18" s="432"/>
      <c r="I18" s="432"/>
      <c r="J18" s="43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31" t="s">
        <v>15432</v>
      </c>
      <c r="E19" s="432"/>
      <c r="F19" s="432"/>
      <c r="G19" s="432"/>
      <c r="H19" s="432"/>
      <c r="I19" s="432"/>
      <c r="J19" s="43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34" t="s">
        <v>15430</v>
      </c>
      <c r="E20" s="435"/>
      <c r="F20" s="435"/>
      <c r="G20" s="435"/>
      <c r="H20" s="435"/>
      <c r="I20" s="435"/>
      <c r="J20" s="43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15431</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3">
        <v>43539</v>
      </c>
      <c r="E22" s="424"/>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7"/>
      <c r="E23" s="42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25" t="str">
        <f ca="1">OFFSET(L!$C$1,MATCH("Declaration"&amp;ADDRESS(ROW(),COLUMN(),4),L!$A:$A,0)-1,SL,,)</f>
        <v>Answer the following questions 1 - 7 based on the declaration scope indicated above</v>
      </c>
      <c r="C24" s="425"/>
      <c r="D24" s="425"/>
      <c r="E24" s="425"/>
      <c r="F24" s="425"/>
      <c r="G24" s="425"/>
      <c r="H24" s="425"/>
      <c r="I24" s="425"/>
      <c r="J24" s="425"/>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85" t="s">
        <v>564</v>
      </c>
      <c r="E26" s="386"/>
      <c r="F26" s="15"/>
      <c r="G26" s="379"/>
      <c r="H26" s="380"/>
      <c r="I26" s="380"/>
      <c r="J26" s="381"/>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5" t="s">
        <v>563</v>
      </c>
      <c r="E27" s="386"/>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5" t="s">
        <v>563</v>
      </c>
      <c r="E28" s="386"/>
      <c r="F28" s="15"/>
      <c r="G28" s="379"/>
      <c r="H28" s="380"/>
      <c r="I28" s="380"/>
      <c r="J28" s="38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85" t="s">
        <v>564</v>
      </c>
      <c r="E29" s="386"/>
      <c r="F29" s="15"/>
      <c r="G29" s="379"/>
      <c r="H29" s="380"/>
      <c r="I29" s="380"/>
      <c r="J29" s="381"/>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4" t="str">
        <f ca="1">D25</f>
        <v>Answer</v>
      </c>
      <c r="E31" s="394"/>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2"/>
      <c r="E32" s="393"/>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5" t="s">
        <v>563</v>
      </c>
      <c r="E33" s="386"/>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5" t="s">
        <v>563</v>
      </c>
      <c r="E34" s="386"/>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85"/>
      <c r="E35" s="386"/>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4" t="str">
        <f ca="1">D25</f>
        <v>Answer</v>
      </c>
      <c r="E37" s="394"/>
      <c r="F37" s="21"/>
      <c r="G37" s="56" t="str">
        <f ca="1">G25</f>
        <v>Comments</v>
      </c>
      <c r="H37" s="426"/>
      <c r="I37" s="426"/>
      <c r="J37" s="426"/>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85"/>
      <c r="E38" s="386"/>
      <c r="F38" s="59"/>
      <c r="G38" s="379"/>
      <c r="H38" s="380"/>
      <c r="I38" s="380"/>
      <c r="J38" s="381"/>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5" t="s">
        <v>565</v>
      </c>
      <c r="E39" s="386"/>
      <c r="F39" s="59"/>
      <c r="G39" s="379" t="s">
        <v>15455</v>
      </c>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5" t="s">
        <v>565</v>
      </c>
      <c r="E40" s="386"/>
      <c r="F40" s="59"/>
      <c r="G40" s="379" t="s">
        <v>15455</v>
      </c>
      <c r="H40" s="380"/>
      <c r="I40" s="380"/>
      <c r="J40" s="38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85"/>
      <c r="E41" s="386"/>
      <c r="F41" s="59"/>
      <c r="G41" s="379"/>
      <c r="H41" s="380"/>
      <c r="I41" s="380"/>
      <c r="J41" s="381"/>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4" t="str">
        <f ca="1">D25</f>
        <v>Answer</v>
      </c>
      <c r="E43" s="394"/>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85"/>
      <c r="E44" s="386"/>
      <c r="F44" s="59"/>
      <c r="G44" s="379"/>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5" t="s">
        <v>564</v>
      </c>
      <c r="E45" s="386"/>
      <c r="F45" s="59"/>
      <c r="G45" s="379"/>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5" t="s">
        <v>564</v>
      </c>
      <c r="E46" s="386"/>
      <c r="F46" s="59"/>
      <c r="G46" s="379"/>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85"/>
      <c r="E47" s="386"/>
      <c r="F47" s="59"/>
      <c r="G47" s="379"/>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4" t="str">
        <f ca="1">D25</f>
        <v>Answer</v>
      </c>
      <c r="E49" s="394"/>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5"/>
      <c r="E50" s="396"/>
      <c r="F50" s="59"/>
      <c r="G50" s="379"/>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5" t="s">
        <v>3219</v>
      </c>
      <c r="E51" s="396"/>
      <c r="F51" s="59"/>
      <c r="G51" s="379"/>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5" t="s">
        <v>3219</v>
      </c>
      <c r="E52" s="396"/>
      <c r="F52" s="59"/>
      <c r="G52" s="379"/>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5"/>
      <c r="E53" s="396"/>
      <c r="F53" s="59"/>
      <c r="G53" s="379"/>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4" t="str">
        <f ca="1">D25</f>
        <v>Answer</v>
      </c>
      <c r="E55" s="394"/>
      <c r="F55" s="21"/>
      <c r="G55" s="56" t="str">
        <f ca="1">G25</f>
        <v>Comments</v>
      </c>
      <c r="H55" s="398"/>
      <c r="I55" s="398"/>
      <c r="J55" s="39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2"/>
      <c r="E56" s="393"/>
      <c r="F56" s="59"/>
      <c r="G56" s="379"/>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5" t="s">
        <v>564</v>
      </c>
      <c r="E57" s="386"/>
      <c r="F57" s="59"/>
      <c r="G57" s="379" t="s">
        <v>15439</v>
      </c>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5" t="s">
        <v>564</v>
      </c>
      <c r="E58" s="386"/>
      <c r="F58" s="59"/>
      <c r="G58" s="379" t="s">
        <v>15439</v>
      </c>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85"/>
      <c r="E59" s="386"/>
      <c r="F59" s="59"/>
      <c r="G59" s="379"/>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4" t="str">
        <f ca="1">D25</f>
        <v>Answer</v>
      </c>
      <c r="E61" s="394"/>
      <c r="F61" s="21"/>
      <c r="G61" s="56" t="str">
        <f ca="1">G25</f>
        <v>Comments</v>
      </c>
      <c r="H61" s="398" t="str">
        <f>IF(Q69="(*)","Click here to enter smelter names","")</f>
        <v/>
      </c>
      <c r="I61" s="398"/>
      <c r="J61" s="39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85"/>
      <c r="E62" s="386"/>
      <c r="F62" s="60"/>
      <c r="G62" s="379"/>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5" t="s">
        <v>563</v>
      </c>
      <c r="E63" s="386"/>
      <c r="F63" s="60"/>
      <c r="G63" s="379"/>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5" t="s">
        <v>563</v>
      </c>
      <c r="E64" s="386"/>
      <c r="F64" s="60"/>
      <c r="G64" s="379"/>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85"/>
      <c r="E65" s="386"/>
      <c r="F65" s="62"/>
      <c r="G65" s="379"/>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91" t="str">
        <f ca="1">OFFSET(L!$C$1,MATCH("Declaration"&amp;ADDRESS(ROW(),COLUMN(),4),L!$A:$A,0)-1,SL,,)</f>
        <v>Answer the Following Questions at a Company Level</v>
      </c>
      <c r="C67" s="391"/>
      <c r="D67" s="391"/>
      <c r="E67" s="391"/>
      <c r="F67" s="391"/>
      <c r="G67" s="391"/>
      <c r="H67" s="391"/>
      <c r="I67" s="391"/>
      <c r="J67" s="39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7" t="str">
        <f ca="1">D25</f>
        <v>Answer</v>
      </c>
      <c r="E68" s="397"/>
      <c r="F68" s="65"/>
      <c r="G68" s="397" t="str">
        <f ca="1">G25</f>
        <v>Comments</v>
      </c>
      <c r="H68" s="397" t="e">
        <f>HLOOKUP(SL,LT,$O68,0)</f>
        <v>#NAME?</v>
      </c>
      <c r="I68" s="39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5" t="s">
        <v>563</v>
      </c>
      <c r="E69" s="386"/>
      <c r="F69" s="69"/>
      <c r="G69" s="379"/>
      <c r="H69" s="380"/>
      <c r="I69" s="380"/>
      <c r="J69" s="381"/>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9"/>
      <c r="H70" s="389"/>
      <c r="I70" s="389"/>
      <c r="J70" s="38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5" t="s">
        <v>563</v>
      </c>
      <c r="E71" s="386"/>
      <c r="F71" s="69"/>
      <c r="G71" s="399" t="s">
        <v>15438</v>
      </c>
      <c r="H71" s="400"/>
      <c r="I71" s="400"/>
      <c r="J71" s="401"/>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5" t="s">
        <v>563</v>
      </c>
      <c r="E73" s="386"/>
      <c r="F73" s="69"/>
      <c r="G73" s="379" t="s">
        <v>15437</v>
      </c>
      <c r="H73" s="380"/>
      <c r="I73" s="380"/>
      <c r="J73" s="381"/>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5" t="s">
        <v>564</v>
      </c>
      <c r="E75" s="386"/>
      <c r="F75" s="69"/>
      <c r="G75" s="379" t="s">
        <v>15436</v>
      </c>
      <c r="H75" s="380"/>
      <c r="I75" s="380"/>
      <c r="J75" s="381"/>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5" t="s">
        <v>564</v>
      </c>
      <c r="E77" s="386"/>
      <c r="F77" s="69"/>
      <c r="G77" s="379" t="s">
        <v>15435</v>
      </c>
      <c r="H77" s="380"/>
      <c r="I77" s="380"/>
      <c r="J77" s="381"/>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7" t="s">
        <v>13590</v>
      </c>
      <c r="E79" s="388"/>
      <c r="F79" s="69"/>
      <c r="G79" s="379"/>
      <c r="H79" s="380"/>
      <c r="I79" s="380"/>
      <c r="J79" s="381"/>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9"/>
      <c r="H80" s="389"/>
      <c r="I80" s="389"/>
      <c r="J80" s="38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5" t="s">
        <v>563</v>
      </c>
      <c r="E81" s="386"/>
      <c r="F81" s="69"/>
      <c r="G81" s="379"/>
      <c r="H81" s="380"/>
      <c r="I81" s="380"/>
      <c r="J81" s="381"/>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90"/>
      <c r="H82" s="390"/>
      <c r="I82" s="390"/>
      <c r="J82" s="39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5" t="s">
        <v>563</v>
      </c>
      <c r="E83" s="386"/>
      <c r="F83" s="69"/>
      <c r="G83" s="379" t="s">
        <v>15434</v>
      </c>
      <c r="H83" s="380"/>
      <c r="I83" s="380"/>
      <c r="J83" s="381"/>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5" t="s">
        <v>563</v>
      </c>
      <c r="E85" s="386"/>
      <c r="F85" s="69"/>
      <c r="G85" s="379" t="s">
        <v>15433</v>
      </c>
      <c r="H85" s="380"/>
      <c r="I85" s="380"/>
      <c r="J85" s="381"/>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4" t="str">
        <f>IF(OR($D$8="",$I$3=""),"","Click here to check required fields completion")</f>
        <v/>
      </c>
      <c r="C86" s="384"/>
      <c r="D86" s="384"/>
      <c r="E86" s="384"/>
      <c r="F86" s="384"/>
      <c r="G86" s="384"/>
      <c r="H86" s="384"/>
      <c r="I86" s="384"/>
      <c r="J86" s="38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2" t="str">
        <f ca="1">OFFSET(L!$C$1,MATCH("General"&amp;"Cpy",L!$A:$A,0)-1,SL,,)</f>
        <v>© 2018 Responsible Minerals Initiative. All rights reserved.</v>
      </c>
      <c r="B87" s="383"/>
      <c r="C87" s="383"/>
      <c r="D87" s="383"/>
      <c r="E87" s="383"/>
      <c r="F87" s="383"/>
      <c r="G87" s="383"/>
      <c r="H87" s="383"/>
      <c r="I87" s="383"/>
      <c r="J87" s="38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8:J8"/>
    <mergeCell ref="D17:J17"/>
    <mergeCell ref="D14:J14"/>
    <mergeCell ref="D13:J13"/>
    <mergeCell ref="D15:J15"/>
    <mergeCell ref="D16:J16"/>
    <mergeCell ref="D12:J12"/>
    <mergeCell ref="D21:J21"/>
    <mergeCell ref="D18:J18"/>
    <mergeCell ref="D20:J20"/>
    <mergeCell ref="D19:J19"/>
    <mergeCell ref="D26:E26"/>
    <mergeCell ref="D27:E27"/>
    <mergeCell ref="D22:E22"/>
    <mergeCell ref="B24:J24"/>
    <mergeCell ref="D31:E31"/>
    <mergeCell ref="D44:E44"/>
    <mergeCell ref="D37:E37"/>
    <mergeCell ref="D32:E32"/>
    <mergeCell ref="D46:E46"/>
    <mergeCell ref="D35:E35"/>
    <mergeCell ref="G38:J38"/>
    <mergeCell ref="D39:E39"/>
    <mergeCell ref="D43:E43"/>
    <mergeCell ref="G35:J35"/>
    <mergeCell ref="G46:J46"/>
    <mergeCell ref="H37:J37"/>
    <mergeCell ref="D23:E23"/>
    <mergeCell ref="D71:E71"/>
    <mergeCell ref="G68:I68"/>
    <mergeCell ref="D68:E68"/>
    <mergeCell ref="G56:J56"/>
    <mergeCell ref="G71:J71"/>
    <mergeCell ref="A1:K1"/>
    <mergeCell ref="D2:J2"/>
    <mergeCell ref="B4:H4"/>
    <mergeCell ref="D10:J10"/>
    <mergeCell ref="F3:H3"/>
    <mergeCell ref="I4:J4"/>
    <mergeCell ref="D9:G9"/>
    <mergeCell ref="B7:J7"/>
    <mergeCell ref="B10:B11"/>
    <mergeCell ref="B6:J6"/>
    <mergeCell ref="D38:E38"/>
    <mergeCell ref="G39:J39"/>
    <mergeCell ref="G32:J32"/>
    <mergeCell ref="G29:J29"/>
    <mergeCell ref="D51:E51"/>
    <mergeCell ref="H55:J55"/>
    <mergeCell ref="G62:J62"/>
    <mergeCell ref="G70:J70"/>
    <mergeCell ref="D11:J11"/>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34:E34"/>
    <mergeCell ref="D33:E33"/>
    <mergeCell ref="G34:J34"/>
    <mergeCell ref="G27:J27"/>
    <mergeCell ref="D59:E59"/>
    <mergeCell ref="D58:E58"/>
    <mergeCell ref="D57:E57"/>
    <mergeCell ref="G57:J57"/>
    <mergeCell ref="G58:J58"/>
    <mergeCell ref="D56:E56"/>
    <mergeCell ref="D61:E61"/>
    <mergeCell ref="G59:J59"/>
    <mergeCell ref="G47:J47"/>
    <mergeCell ref="D53:E53"/>
    <mergeCell ref="D50:E50"/>
    <mergeCell ref="G50:J50"/>
    <mergeCell ref="D55:E55"/>
    <mergeCell ref="G51:J51"/>
    <mergeCell ref="G52:J52"/>
    <mergeCell ref="G53:J53"/>
    <mergeCell ref="D52:E52"/>
    <mergeCell ref="D49:E49"/>
    <mergeCell ref="D47:E47"/>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 ref="G75:J75"/>
  </mergeCells>
  <phoneticPr fontId="5"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161" activePane="bottomLeft" state="frozen"/>
      <selection activeCell="A2" sqref="A2"/>
      <selection pane="bottomLeft" activeCell="F210" sqref="F210"/>
    </sheetView>
  </sheetViews>
  <sheetFormatPr baseColWidth="10"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3155</v>
      </c>
      <c r="B5" s="236" t="s">
        <v>1263</v>
      </c>
      <c r="C5" s="242" t="s">
        <v>3154</v>
      </c>
      <c r="D5" s="236"/>
      <c r="E5" s="236" t="s">
        <v>3153</v>
      </c>
      <c r="F5" s="236" t="s">
        <v>3155</v>
      </c>
      <c r="G5" s="236" t="s">
        <v>14672</v>
      </c>
      <c r="H5" s="237"/>
      <c r="I5" s="238" t="s">
        <v>3156</v>
      </c>
      <c r="J5" s="238" t="s">
        <v>2030</v>
      </c>
      <c r="K5" s="240"/>
      <c r="L5" s="240"/>
      <c r="M5" s="240"/>
      <c r="N5" s="240"/>
      <c r="O5" s="240"/>
      <c r="P5" s="239" t="s">
        <v>15440</v>
      </c>
      <c r="Q5" s="241"/>
      <c r="R5" s="236" t="str">
        <f ca="1">IF(ISERROR($V5),"",OFFSET('Smelter Look-up'!$C$4,$V5-4,0)&amp;"")</f>
        <v>Abington Reldan Metals, LLC</v>
      </c>
      <c r="S5" s="250" t="str">
        <f t="shared" ref="S5:S58" ca="1" si="0">IF(B5="","",IF(ISERROR(MATCH($E5,CL,0)),"Unknown",INDIRECT("'C'!$A$"&amp;MATCH($E5,CL,0)+1)))</f>
        <v>US</v>
      </c>
      <c r="T5" s="250" t="str">
        <f ca="1">IF(B5="","",IF(ISERROR(MATCH($J5,SorP!$B$1:$B$6230,0)),"",INDIRECT("'SorP'!$A$"&amp;MATCH($J5,SorP!$B$1:$B$6230,0))))</f>
        <v>US-PA</v>
      </c>
      <c r="U5" s="280"/>
      <c r="V5" s="281">
        <f>IF(C5="",NA(),MATCH($B5&amp;$C5,'Smelter Look-up'!$J:$J,0))</f>
        <v>5</v>
      </c>
      <c r="W5" s="282"/>
      <c r="X5" s="282">
        <f t="shared" ref="X5:X58" si="1">IF(AND(C5="Smelter not listed",OR(LEN(D5)=0,LEN(E5)=0)),1,0)</f>
        <v>0</v>
      </c>
      <c r="Y5" s="282"/>
      <c r="Z5" s="282"/>
      <c r="AB5" s="284" t="str">
        <f t="shared" ref="AB5:AB58" si="2">B5&amp;C5</f>
        <v>GoldAbington Reldan Metals, LLC</v>
      </c>
    </row>
    <row r="6" spans="1:34" s="283" customFormat="1" ht="25.15" customHeight="1">
      <c r="A6" s="235" t="s">
        <v>1541</v>
      </c>
      <c r="B6" s="236" t="s">
        <v>1263</v>
      </c>
      <c r="C6" s="242" t="s">
        <v>1540</v>
      </c>
      <c r="D6" s="236"/>
      <c r="E6" s="236" t="s">
        <v>3153</v>
      </c>
      <c r="F6" s="236" t="s">
        <v>1541</v>
      </c>
      <c r="G6" s="236" t="s">
        <v>14672</v>
      </c>
      <c r="H6" s="237"/>
      <c r="I6" s="238" t="s">
        <v>1893</v>
      </c>
      <c r="J6" s="238" t="s">
        <v>1894</v>
      </c>
      <c r="K6" s="240"/>
      <c r="L6" s="240"/>
      <c r="M6" s="240"/>
      <c r="N6" s="240"/>
      <c r="O6" s="240"/>
      <c r="P6" s="239" t="s">
        <v>15440</v>
      </c>
      <c r="Q6" s="241"/>
      <c r="R6" s="236" t="str">
        <f ca="1">IF(ISERROR($V6),"",OFFSET('Smelter Look-up'!$C$4,$V6-4,0)&amp;"")</f>
        <v>Advanced Chemical Company</v>
      </c>
      <c r="S6" s="250" t="str">
        <f t="shared" ca="1" si="0"/>
        <v>US</v>
      </c>
      <c r="T6" s="250" t="str">
        <f ca="1">IF(B6="","",IF(ISERROR(MATCH($J6,SorP!$B$1:$B$6230,0)),"",INDIRECT("'SorP'!$A$"&amp;MATCH($J6,SorP!$B$1:$B$6230,0))))</f>
        <v>CH-NE</v>
      </c>
      <c r="U6" s="280"/>
      <c r="V6" s="281">
        <f>IF(C6="",NA(),MATCH($B6&amp;$C6,'Smelter Look-up'!$J:$J,0))</f>
        <v>6</v>
      </c>
      <c r="W6" s="282"/>
      <c r="X6" s="282">
        <f t="shared" si="1"/>
        <v>0</v>
      </c>
      <c r="Y6" s="282"/>
      <c r="Z6" s="282"/>
      <c r="AB6" s="284" t="str">
        <f t="shared" si="2"/>
        <v>GoldAdvanced Chemical Company</v>
      </c>
    </row>
    <row r="7" spans="1:34" s="283" customFormat="1" ht="25.15" customHeight="1">
      <c r="A7" s="235" t="s">
        <v>747</v>
      </c>
      <c r="B7" s="236" t="s">
        <v>1263</v>
      </c>
      <c r="C7" s="242" t="s">
        <v>2601</v>
      </c>
      <c r="D7" s="236"/>
      <c r="E7" s="236" t="s">
        <v>1241</v>
      </c>
      <c r="F7" s="236" t="s">
        <v>747</v>
      </c>
      <c r="G7" s="236" t="s">
        <v>14672</v>
      </c>
      <c r="H7" s="237"/>
      <c r="I7" s="238" t="s">
        <v>1800</v>
      </c>
      <c r="J7" s="238" t="s">
        <v>1801</v>
      </c>
      <c r="K7" s="240"/>
      <c r="L7" s="240"/>
      <c r="M7" s="240"/>
      <c r="N7" s="240"/>
      <c r="O7" s="240"/>
      <c r="P7" s="239" t="s">
        <v>15440</v>
      </c>
      <c r="Q7" s="241"/>
      <c r="R7" s="236" t="str">
        <f ca="1">IF(ISERROR($V7),"",OFFSET('Smelter Look-up'!$C$4,$V7-4,0)&amp;"")</f>
        <v>Aida Chemical Industries Co., Ltd.</v>
      </c>
      <c r="S7" s="250" t="str">
        <f t="shared" ca="1" si="0"/>
        <v>JP</v>
      </c>
      <c r="T7" s="250" t="str">
        <f ca="1">IF(B7="","",IF(ISERROR(MATCH($J7,SorP!$B$1:$B$6230,0)),"",INDIRECT("'SorP'!$A$"&amp;MATCH($J7,SorP!$B$1:$B$6230,0))))</f>
        <v>US-RI</v>
      </c>
      <c r="U7" s="280"/>
      <c r="V7" s="281">
        <f>IF(C7="",NA(),MATCH($B7&amp;$C7,'Smelter Look-up'!$J:$J,0))</f>
        <v>10</v>
      </c>
      <c r="W7" s="282"/>
      <c r="X7" s="282">
        <f t="shared" si="1"/>
        <v>0</v>
      </c>
      <c r="Y7" s="282"/>
      <c r="Z7" s="282"/>
      <c r="AB7" s="284" t="str">
        <f t="shared" si="2"/>
        <v>GoldAida Chemical Industries Co., Ltd.</v>
      </c>
    </row>
    <row r="8" spans="1:34" s="283" customFormat="1" ht="25.15" customHeight="1">
      <c r="A8" s="235" t="s">
        <v>1989</v>
      </c>
      <c r="B8" s="236" t="s">
        <v>1263</v>
      </c>
      <c r="C8" s="242" t="s">
        <v>3244</v>
      </c>
      <c r="D8" s="236"/>
      <c r="E8" s="236" t="s">
        <v>1224</v>
      </c>
      <c r="F8" s="236" t="s">
        <v>1989</v>
      </c>
      <c r="G8" s="236" t="s">
        <v>14672</v>
      </c>
      <c r="H8" s="237"/>
      <c r="I8" s="238" t="s">
        <v>1990</v>
      </c>
      <c r="J8" s="238" t="s">
        <v>3339</v>
      </c>
      <c r="K8" s="240"/>
      <c r="L8" s="240"/>
      <c r="M8" s="240"/>
      <c r="N8" s="240"/>
      <c r="O8" s="240"/>
      <c r="P8" s="239" t="s">
        <v>15440</v>
      </c>
      <c r="Q8" s="241"/>
      <c r="R8" s="236" t="str">
        <f ca="1">IF(ISERROR($V8),"",OFFSET('Smelter Look-up'!$C$4,$V8-4,0)&amp;"")</f>
        <v>Al Etihad Gold LLC</v>
      </c>
      <c r="S8" s="250" t="str">
        <f t="shared" ca="1" si="0"/>
        <v>AE</v>
      </c>
      <c r="T8" s="250" t="str">
        <f ca="1">IF(B8="","",IF(ISERROR(MATCH($J8,SorP!$B$1:$B$6230,0)),"",INDIRECT("'SorP'!$A$"&amp;MATCH($J8,SorP!$B$1:$B$6230,0))))</f>
        <v>AE-DU</v>
      </c>
      <c r="U8" s="280"/>
      <c r="V8" s="281">
        <f>IF(C8="",NA(),MATCH($B8&amp;$C8,'Smelter Look-up'!$J:$J,0))</f>
        <v>11</v>
      </c>
      <c r="W8" s="282"/>
      <c r="X8" s="282">
        <f t="shared" si="1"/>
        <v>0</v>
      </c>
      <c r="Y8" s="282"/>
      <c r="Z8" s="282"/>
      <c r="AB8" s="284" t="str">
        <f t="shared" si="2"/>
        <v>GoldAl Etihad Gold LLC</v>
      </c>
    </row>
    <row r="9" spans="1:34" s="283" customFormat="1" ht="25.15" customHeight="1">
      <c r="A9" s="235" t="s">
        <v>748</v>
      </c>
      <c r="B9" s="236" t="s">
        <v>1263</v>
      </c>
      <c r="C9" s="242" t="s">
        <v>59</v>
      </c>
      <c r="D9" s="236"/>
      <c r="E9" s="236" t="s">
        <v>1234</v>
      </c>
      <c r="F9" s="236" t="s">
        <v>748</v>
      </c>
      <c r="G9" s="236" t="s">
        <v>14672</v>
      </c>
      <c r="H9" s="237"/>
      <c r="I9" s="238" t="s">
        <v>1802</v>
      </c>
      <c r="J9" s="238" t="s">
        <v>1803</v>
      </c>
      <c r="K9" s="240"/>
      <c r="L9" s="240"/>
      <c r="M9" s="240"/>
      <c r="N9" s="240"/>
      <c r="O9" s="240"/>
      <c r="P9" s="239" t="s">
        <v>15440</v>
      </c>
      <c r="Q9" s="241"/>
      <c r="R9" s="236" t="str">
        <f ca="1">IF(ISERROR($V9),"",OFFSET('Smelter Look-up'!$C$4,$V9-4,0)&amp;"")</f>
        <v>Allgemeine Gold-und Silberscheideanstalt A.G.</v>
      </c>
      <c r="S9" s="250" t="str">
        <f t="shared" ca="1" si="0"/>
        <v>DE</v>
      </c>
      <c r="T9" s="250" t="str">
        <f ca="1">IF(B9="","",IF(ISERROR(MATCH($J9,SorP!$B$1:$B$6230,0)),"",INDIRECT("'SorP'!$A$"&amp;MATCH($J9,SorP!$B$1:$B$6230,0))))</f>
        <v>JP-13</v>
      </c>
      <c r="U9" s="280"/>
      <c r="V9" s="281">
        <f>IF(C9="",NA(),MATCH($B9&amp;$C9,'Smelter Look-up'!$J:$J,0))</f>
        <v>13</v>
      </c>
      <c r="W9" s="282"/>
      <c r="X9" s="282">
        <f t="shared" si="1"/>
        <v>0</v>
      </c>
      <c r="Y9" s="282"/>
      <c r="Z9" s="282"/>
      <c r="AB9" s="284" t="str">
        <f t="shared" si="2"/>
        <v>GoldAllgemeine Gold-und Silberscheideanstalt A.G.</v>
      </c>
    </row>
    <row r="10" spans="1:34" s="283" customFormat="1" ht="25.15" customHeight="1">
      <c r="A10" s="235" t="s">
        <v>749</v>
      </c>
      <c r="B10" s="236" t="s">
        <v>1263</v>
      </c>
      <c r="C10" s="242" t="s">
        <v>718</v>
      </c>
      <c r="D10" s="236"/>
      <c r="E10" s="236" t="s">
        <v>1019</v>
      </c>
      <c r="F10" s="236" t="s">
        <v>749</v>
      </c>
      <c r="G10" s="236" t="s">
        <v>14672</v>
      </c>
      <c r="H10" s="237"/>
      <c r="I10" s="238" t="s">
        <v>1804</v>
      </c>
      <c r="J10" s="347" t="s">
        <v>1805</v>
      </c>
      <c r="K10" s="345"/>
      <c r="L10" s="240"/>
      <c r="M10" s="240"/>
      <c r="N10" s="240"/>
      <c r="O10" s="240"/>
      <c r="P10" s="239" t="s">
        <v>15440</v>
      </c>
      <c r="Q10" s="241"/>
      <c r="R10" s="236" t="str">
        <f ca="1">IF(ISERROR($V10),"",OFFSET('Smelter Look-up'!$C$4,$V10-4,0)&amp;"")</f>
        <v>Almalyk Mining and Metallurgical Complex (AMMC)</v>
      </c>
      <c r="S10" s="250" t="str">
        <f t="shared" ca="1" si="0"/>
        <v>UZ</v>
      </c>
      <c r="T10" s="250" t="str">
        <f ca="1">IF(B10="","",IF(ISERROR(MATCH($J10,SorP!$B$1:$B$6230,0)),"",INDIRECT("'SorP'!$A$"&amp;MATCH($J10,SorP!$B$1:$B$6230,0))))</f>
        <v>DE-BW</v>
      </c>
      <c r="U10" s="280"/>
      <c r="V10" s="281">
        <f>IF(C10="",NA(),MATCH($B10&amp;$C10,'Smelter Look-up'!$J:$J,0))</f>
        <v>14</v>
      </c>
      <c r="W10" s="282"/>
      <c r="X10" s="282">
        <f t="shared" si="1"/>
        <v>0</v>
      </c>
      <c r="Y10" s="282"/>
      <c r="Z10" s="282"/>
      <c r="AB10" s="284" t="str">
        <f t="shared" si="2"/>
        <v>GoldAlmalyk Mining and Metallurgical Complex (AMMC)</v>
      </c>
    </row>
    <row r="11" spans="1:34" s="283" customFormat="1" ht="25.15" customHeight="1">
      <c r="A11" s="235" t="s">
        <v>750</v>
      </c>
      <c r="B11" s="236" t="s">
        <v>1263</v>
      </c>
      <c r="C11" s="242" t="s">
        <v>13595</v>
      </c>
      <c r="D11" s="236"/>
      <c r="E11" s="236" t="s">
        <v>1228</v>
      </c>
      <c r="F11" s="236" t="s">
        <v>750</v>
      </c>
      <c r="G11" s="236" t="s">
        <v>14672</v>
      </c>
      <c r="H11" s="237"/>
      <c r="I11" s="238" t="s">
        <v>1806</v>
      </c>
      <c r="J11" s="238" t="s">
        <v>13165</v>
      </c>
      <c r="K11" s="240"/>
      <c r="L11" s="240"/>
      <c r="M11" s="240"/>
      <c r="N11" s="240"/>
      <c r="O11" s="240"/>
      <c r="P11" s="239" t="s">
        <v>15440</v>
      </c>
      <c r="Q11" s="241"/>
      <c r="R11" s="236" t="str">
        <f ca="1">IF(ISERROR($V11),"",OFFSET('Smelter Look-up'!$C$4,$V11-4,0)&amp;"")</f>
        <v>AngloGold Ashanti Corrego do Sitio Mineracao</v>
      </c>
      <c r="S11" s="250" t="str">
        <f t="shared" ca="1" si="0"/>
        <v>BR</v>
      </c>
      <c r="T11" s="250" t="str">
        <f ca="1">IF(B11="","",IF(ISERROR(MATCH($J11,SorP!$B$1:$B$6230,0)),"",INDIRECT("'SorP'!$A$"&amp;MATCH($J11,SorP!$B$1:$B$6230,0))))</f>
        <v>UZ-TK</v>
      </c>
      <c r="U11" s="280"/>
      <c r="V11" s="281">
        <f>IF(C11="",NA(),MATCH($B11&amp;$C11,'Smelter Look-up'!$J:$J,0))</f>
        <v>17</v>
      </c>
      <c r="W11" s="282"/>
      <c r="X11" s="282">
        <f t="shared" si="1"/>
        <v>0</v>
      </c>
      <c r="Y11" s="282"/>
      <c r="Z11" s="282"/>
      <c r="AB11" s="284" t="str">
        <f t="shared" si="2"/>
        <v>GoldAngloGold Ashanti Corrego do Sitio Mineracao</v>
      </c>
    </row>
    <row r="12" spans="1:34" s="283" customFormat="1" ht="25.15" customHeight="1">
      <c r="A12" s="235" t="s">
        <v>751</v>
      </c>
      <c r="B12" s="236" t="s">
        <v>1263</v>
      </c>
      <c r="C12" s="242" t="s">
        <v>2965</v>
      </c>
      <c r="D12" s="236"/>
      <c r="E12" s="236" t="s">
        <v>1230</v>
      </c>
      <c r="F12" s="236" t="s">
        <v>751</v>
      </c>
      <c r="G12" s="236" t="s">
        <v>14672</v>
      </c>
      <c r="H12" s="237"/>
      <c r="I12" s="238" t="s">
        <v>1808</v>
      </c>
      <c r="J12" s="238" t="s">
        <v>1809</v>
      </c>
      <c r="K12" s="240"/>
      <c r="L12" s="240"/>
      <c r="M12" s="240"/>
      <c r="N12" s="240"/>
      <c r="O12" s="240"/>
      <c r="P12" s="239" t="s">
        <v>15440</v>
      </c>
      <c r="Q12" s="241"/>
      <c r="R12" s="236" t="str">
        <f ca="1">IF(ISERROR($V12),"",OFFSET('Smelter Look-up'!$C$4,$V12-4,0)&amp;"")</f>
        <v>Argor-Heraeus S.A.</v>
      </c>
      <c r="S12" s="250" t="str">
        <f t="shared" ca="1" si="0"/>
        <v>CH</v>
      </c>
      <c r="T12" s="250" t="str">
        <f ca="1">IF(B12="","",IF(ISERROR(MATCH($J12,SorP!$B$1:$B$6230,0)),"",INDIRECT("'SorP'!$A$"&amp;MATCH($J12,SorP!$B$1:$B$6230,0))))</f>
        <v>BR-MG</v>
      </c>
      <c r="U12" s="280"/>
      <c r="V12" s="281">
        <f>IF(C12="",NA(),MATCH($B12&amp;$C12,'Smelter Look-up'!$J:$J,0))</f>
        <v>21</v>
      </c>
      <c r="W12" s="282"/>
      <c r="X12" s="282">
        <f t="shared" si="1"/>
        <v>0</v>
      </c>
      <c r="Y12" s="282"/>
      <c r="Z12" s="282"/>
      <c r="AB12" s="284" t="str">
        <f t="shared" si="2"/>
        <v>GoldArgor-Heraeus S.A.</v>
      </c>
    </row>
    <row r="13" spans="1:34" s="283" customFormat="1" ht="25.15" customHeight="1">
      <c r="A13" s="235" t="s">
        <v>752</v>
      </c>
      <c r="B13" s="236" t="s">
        <v>1263</v>
      </c>
      <c r="C13" s="242" t="s">
        <v>2966</v>
      </c>
      <c r="D13" s="236"/>
      <c r="E13" s="236" t="s">
        <v>1241</v>
      </c>
      <c r="F13" s="236" t="s">
        <v>752</v>
      </c>
      <c r="G13" s="236" t="s">
        <v>14672</v>
      </c>
      <c r="H13" s="237"/>
      <c r="I13" s="238" t="s">
        <v>1810</v>
      </c>
      <c r="J13" s="238" t="s">
        <v>1811</v>
      </c>
      <c r="K13" s="240"/>
      <c r="L13" s="240"/>
      <c r="M13" s="240"/>
      <c r="N13" s="240"/>
      <c r="O13" s="240"/>
      <c r="P13" s="239" t="s">
        <v>15440</v>
      </c>
      <c r="Q13" s="241"/>
      <c r="R13" s="236" t="str">
        <f ca="1">IF(ISERROR($V13),"",OFFSET('Smelter Look-up'!$C$4,$V13-4,0)&amp;"")</f>
        <v>Asahi Pretec Corp.</v>
      </c>
      <c r="S13" s="250" t="str">
        <f t="shared" ca="1" si="0"/>
        <v>JP</v>
      </c>
      <c r="T13" s="250" t="str">
        <f ca="1">IF(B13="","",IF(ISERROR(MATCH($J13,SorP!$B$1:$B$6230,0)),"",INDIRECT("'SorP'!$A$"&amp;MATCH($J13,SorP!$B$1:$B$6230,0))))</f>
        <v>CH-TI</v>
      </c>
      <c r="U13" s="280"/>
      <c r="V13" s="281">
        <f>IF(C13="",NA(),MATCH($B13&amp;$C13,'Smelter Look-up'!$J:$J,0))</f>
        <v>22</v>
      </c>
      <c r="W13" s="282"/>
      <c r="X13" s="282">
        <f t="shared" si="1"/>
        <v>0</v>
      </c>
      <c r="Y13" s="282"/>
      <c r="Z13" s="282"/>
      <c r="AB13" s="284" t="str">
        <f t="shared" si="2"/>
        <v>GoldAsahi Pretec Corp.</v>
      </c>
    </row>
    <row r="14" spans="1:34" s="283" customFormat="1" ht="25.15" customHeight="1">
      <c r="A14" s="235" t="s">
        <v>787</v>
      </c>
      <c r="B14" s="236" t="s">
        <v>1263</v>
      </c>
      <c r="C14" s="242" t="s">
        <v>2967</v>
      </c>
      <c r="D14" s="236"/>
      <c r="E14" s="236" t="s">
        <v>1229</v>
      </c>
      <c r="F14" s="236" t="s">
        <v>787</v>
      </c>
      <c r="G14" s="236" t="s">
        <v>14672</v>
      </c>
      <c r="H14" s="237"/>
      <c r="I14" s="238" t="s">
        <v>1868</v>
      </c>
      <c r="J14" s="238" t="s">
        <v>1869</v>
      </c>
      <c r="K14" s="240"/>
      <c r="L14" s="240"/>
      <c r="M14" s="240"/>
      <c r="N14" s="240"/>
      <c r="O14" s="240"/>
      <c r="P14" s="239" t="s">
        <v>15440</v>
      </c>
      <c r="Q14" s="241"/>
      <c r="R14" s="236" t="str">
        <f ca="1">IF(ISERROR($V14),"",OFFSET('Smelter Look-up'!$C$4,$V14-4,0)&amp;"")</f>
        <v>Asahi Refining Canada Ltd.</v>
      </c>
      <c r="S14" s="250" t="str">
        <f t="shared" ca="1" si="0"/>
        <v>CA</v>
      </c>
      <c r="T14" s="250" t="str">
        <f ca="1">IF(B14="","",IF(ISERROR(MATCH($J14,SorP!$B$1:$B$6230,0)),"",INDIRECT("'SorP'!$A$"&amp;MATCH($J14,SorP!$B$1:$B$6230,0))))</f>
        <v>US-UT</v>
      </c>
      <c r="U14" s="280"/>
      <c r="V14" s="281">
        <f>IF(C14="",NA(),MATCH($B14&amp;$C14,'Smelter Look-up'!$J:$J,0))</f>
        <v>23</v>
      </c>
      <c r="W14" s="282"/>
      <c r="X14" s="282">
        <f t="shared" si="1"/>
        <v>0</v>
      </c>
      <c r="Y14" s="282"/>
      <c r="Z14" s="282"/>
      <c r="AB14" s="284" t="str">
        <f t="shared" si="2"/>
        <v>GoldAsahi Refining Canada Ltd.</v>
      </c>
    </row>
    <row r="15" spans="1:34" s="283" customFormat="1" ht="25.15" customHeight="1">
      <c r="A15" s="235" t="s">
        <v>786</v>
      </c>
      <c r="B15" s="236" t="s">
        <v>1263</v>
      </c>
      <c r="C15" s="242" t="s">
        <v>2686</v>
      </c>
      <c r="D15" s="236"/>
      <c r="E15" s="236" t="s">
        <v>3153</v>
      </c>
      <c r="F15" s="236" t="s">
        <v>786</v>
      </c>
      <c r="G15" s="236" t="s">
        <v>14672</v>
      </c>
      <c r="H15" s="237"/>
      <c r="I15" s="238" t="s">
        <v>1865</v>
      </c>
      <c r="J15" s="238" t="s">
        <v>1866</v>
      </c>
      <c r="K15" s="240"/>
      <c r="L15" s="240"/>
      <c r="M15" s="240"/>
      <c r="N15" s="240"/>
      <c r="O15" s="240"/>
      <c r="P15" s="239" t="s">
        <v>15440</v>
      </c>
      <c r="Q15" s="241"/>
      <c r="R15" s="236" t="str">
        <f ca="1">IF(ISERROR($V15),"",OFFSET('Smelter Look-up'!$C$4,$V15-4,0)&amp;"")</f>
        <v>Asahi Refining USA Inc.</v>
      </c>
      <c r="S15" s="250" t="str">
        <f t="shared" ca="1" si="0"/>
        <v>US</v>
      </c>
      <c r="T15" s="250" t="str">
        <f ca="1">IF(B15="","",IF(ISERROR(MATCH($J15,SorP!$B$1:$B$6230,0)),"",INDIRECT("'SorP'!$A$"&amp;MATCH($J15,SorP!$B$1:$B$6230,0))))</f>
        <v>CN-36</v>
      </c>
      <c r="U15" s="280"/>
      <c r="V15" s="281">
        <f>IF(C15="",NA(),MATCH($B15&amp;$C15,'Smelter Look-up'!$J:$J,0))</f>
        <v>24</v>
      </c>
      <c r="W15" s="282"/>
      <c r="X15" s="282">
        <f t="shared" si="1"/>
        <v>0</v>
      </c>
      <c r="Y15" s="282"/>
      <c r="Z15" s="282"/>
      <c r="AB15" s="284" t="str">
        <f t="shared" si="2"/>
        <v>GoldAsahi Refining USA Inc.</v>
      </c>
    </row>
    <row r="16" spans="1:34" s="283" customFormat="1" ht="25.15" customHeight="1">
      <c r="A16" s="235" t="s">
        <v>753</v>
      </c>
      <c r="B16" s="236" t="s">
        <v>1263</v>
      </c>
      <c r="C16" s="242" t="s">
        <v>2602</v>
      </c>
      <c r="D16" s="236"/>
      <c r="E16" s="236" t="s">
        <v>1241</v>
      </c>
      <c r="F16" s="236" t="s">
        <v>753</v>
      </c>
      <c r="G16" s="236" t="s">
        <v>14672</v>
      </c>
      <c r="H16" s="237"/>
      <c r="I16" s="238" t="s">
        <v>1812</v>
      </c>
      <c r="J16" s="238" t="s">
        <v>1813</v>
      </c>
      <c r="K16" s="240"/>
      <c r="L16" s="240"/>
      <c r="M16" s="240"/>
      <c r="N16" s="240"/>
      <c r="O16" s="240"/>
      <c r="P16" s="239" t="s">
        <v>15440</v>
      </c>
      <c r="Q16" s="241"/>
      <c r="R16" s="236" t="str">
        <f ca="1">IF(ISERROR($V16),"",OFFSET('Smelter Look-up'!$C$4,$V16-4,0)&amp;"")</f>
        <v>Asaka Riken Co., Ltd.</v>
      </c>
      <c r="S16" s="250" t="str">
        <f t="shared" ca="1" si="0"/>
        <v>JP</v>
      </c>
      <c r="T16" s="250" t="str">
        <f ca="1">IF(B16="","",IF(ISERROR(MATCH($J16,SorP!$B$1:$B$6230,0)),"",INDIRECT("'SorP'!$A$"&amp;MATCH($J16,SorP!$B$1:$B$6230,0))))</f>
        <v>JP-28</v>
      </c>
      <c r="U16" s="280"/>
      <c r="V16" s="281">
        <f>IF(C16="",NA(),MATCH($B16&amp;$C16,'Smelter Look-up'!$J:$J,0))</f>
        <v>25</v>
      </c>
      <c r="W16" s="282"/>
      <c r="X16" s="282">
        <f t="shared" si="1"/>
        <v>0</v>
      </c>
      <c r="Y16" s="282"/>
      <c r="Z16" s="282"/>
      <c r="AB16" s="284" t="str">
        <f t="shared" si="2"/>
        <v>GoldAsaka Riken Co., Ltd.</v>
      </c>
    </row>
    <row r="17" spans="1:28" s="283" customFormat="1" ht="25.15" customHeight="1">
      <c r="A17" s="235" t="s">
        <v>754</v>
      </c>
      <c r="B17" s="236" t="s">
        <v>1263</v>
      </c>
      <c r="C17" s="242" t="s">
        <v>719</v>
      </c>
      <c r="D17" s="236"/>
      <c r="E17" s="236" t="s">
        <v>1017</v>
      </c>
      <c r="F17" s="236" t="s">
        <v>754</v>
      </c>
      <c r="G17" s="236" t="s">
        <v>14672</v>
      </c>
      <c r="H17" s="237"/>
      <c r="I17" s="238" t="s">
        <v>1815</v>
      </c>
      <c r="J17" s="238" t="s">
        <v>1816</v>
      </c>
      <c r="K17" s="240"/>
      <c r="L17" s="240"/>
      <c r="M17" s="240"/>
      <c r="N17" s="240"/>
      <c r="O17" s="240"/>
      <c r="P17" s="239" t="s">
        <v>15440</v>
      </c>
      <c r="Q17" s="241"/>
      <c r="R17" s="236" t="str">
        <f ca="1">IF(ISERROR($V17),"",OFFSET('Smelter Look-up'!$C$4,$V17-4,0)&amp;"")</f>
        <v>Atasay Kuyumculuk Sanayi Ve Ticaret A.S.</v>
      </c>
      <c r="S17" s="250" t="str">
        <f t="shared" ca="1" si="0"/>
        <v>TR</v>
      </c>
      <c r="T17" s="250" t="str">
        <f ca="1">IF(B17="","",IF(ISERROR(MATCH($J17,SorP!$B$1:$B$6230,0)),"",INDIRECT("'SorP'!$A$"&amp;MATCH($J17,SorP!$B$1:$B$6230,0))))</f>
        <v>JP-07</v>
      </c>
      <c r="U17" s="280"/>
      <c r="V17" s="281">
        <f>IF(C17="",NA(),MATCH($B17&amp;$C17,'Smelter Look-up'!$J:$J,0))</f>
        <v>27</v>
      </c>
      <c r="W17" s="282"/>
      <c r="X17" s="282">
        <f t="shared" si="1"/>
        <v>0</v>
      </c>
      <c r="Y17" s="282"/>
      <c r="Z17" s="282"/>
      <c r="AB17" s="284" t="str">
        <f t="shared" si="2"/>
        <v>GoldAtasay Kuyumculuk Sanayi Ve Ticaret A.S.</v>
      </c>
    </row>
    <row r="18" spans="1:28" s="283" customFormat="1" ht="25.15" customHeight="1">
      <c r="A18" s="235" t="s">
        <v>2969</v>
      </c>
      <c r="B18" s="236" t="s">
        <v>1263</v>
      </c>
      <c r="C18" s="242" t="s">
        <v>2968</v>
      </c>
      <c r="D18" s="236"/>
      <c r="E18" s="236" t="s">
        <v>1021</v>
      </c>
      <c r="F18" s="236" t="s">
        <v>2969</v>
      </c>
      <c r="G18" s="236" t="s">
        <v>14672</v>
      </c>
      <c r="H18" s="237"/>
      <c r="I18" s="238" t="s">
        <v>2970</v>
      </c>
      <c r="J18" s="238" t="s">
        <v>1919</v>
      </c>
      <c r="K18" s="240"/>
      <c r="L18" s="240"/>
      <c r="M18" s="240"/>
      <c r="N18" s="240"/>
      <c r="O18" s="240"/>
      <c r="P18" s="239" t="s">
        <v>15440</v>
      </c>
      <c r="Q18" s="241"/>
      <c r="R18" s="236" t="str">
        <f ca="1">IF(ISERROR($V18),"",OFFSET('Smelter Look-up'!$C$4,$V18-4,0)&amp;"")</f>
        <v>AU Traders and Refiners</v>
      </c>
      <c r="S18" s="250" t="str">
        <f t="shared" ca="1" si="0"/>
        <v>ZA</v>
      </c>
      <c r="T18" s="250" t="str">
        <f ca="1">IF(B18="","",IF(ISERROR(MATCH($J18,SorP!$B$1:$B$6230,0)),"",INDIRECT("'SorP'!$A$"&amp;MATCH($J18,SorP!$B$1:$B$6230,0))))</f>
        <v>ZA-GT</v>
      </c>
      <c r="U18" s="280"/>
      <c r="V18" s="281">
        <f>IF(C18="",NA(),MATCH($B18&amp;$C18,'Smelter Look-up'!$J:$J,0))</f>
        <v>28</v>
      </c>
      <c r="W18" s="282"/>
      <c r="X18" s="282">
        <f t="shared" si="1"/>
        <v>0</v>
      </c>
      <c r="Y18" s="282"/>
      <c r="Z18" s="282"/>
      <c r="AB18" s="284" t="str">
        <f t="shared" si="2"/>
        <v>GoldAU Traders and Refiners</v>
      </c>
    </row>
    <row r="19" spans="1:28" s="283" customFormat="1" ht="25.15" customHeight="1">
      <c r="A19" s="235" t="s">
        <v>755</v>
      </c>
      <c r="B19" s="236" t="s">
        <v>1263</v>
      </c>
      <c r="C19" s="242" t="s">
        <v>1365</v>
      </c>
      <c r="D19" s="236"/>
      <c r="E19" s="236" t="s">
        <v>1234</v>
      </c>
      <c r="F19" s="236" t="s">
        <v>755</v>
      </c>
      <c r="G19" s="236" t="s">
        <v>14672</v>
      </c>
      <c r="H19" s="237"/>
      <c r="I19" s="238" t="s">
        <v>1817</v>
      </c>
      <c r="J19" s="238" t="s">
        <v>12419</v>
      </c>
      <c r="K19" s="240"/>
      <c r="L19" s="240"/>
      <c r="M19" s="240"/>
      <c r="N19" s="240"/>
      <c r="O19" s="240"/>
      <c r="P19" s="239" t="s">
        <v>15440</v>
      </c>
      <c r="Q19" s="241"/>
      <c r="R19" s="236" t="str">
        <f ca="1">IF(ISERROR($V19),"",OFFSET('Smelter Look-up'!$C$4,$V19-4,0)&amp;"")</f>
        <v>Aurubis AG</v>
      </c>
      <c r="S19" s="250" t="str">
        <f t="shared" ca="1" si="0"/>
        <v>DE</v>
      </c>
      <c r="T19" s="250" t="str">
        <f ca="1">IF(B19="","",IF(ISERROR(MATCH($J19,SorP!$B$1:$B$6230,0)),"",INDIRECT("'SorP'!$A$"&amp;MATCH($J19,SorP!$B$1:$B$6230,0))))</f>
        <v>TR-34</v>
      </c>
      <c r="U19" s="280"/>
      <c r="V19" s="281">
        <f>IF(C19="",NA(),MATCH($B19&amp;$C19,'Smelter Look-up'!$J:$J,0))</f>
        <v>29</v>
      </c>
      <c r="W19" s="282"/>
      <c r="X19" s="282">
        <f t="shared" si="1"/>
        <v>0</v>
      </c>
      <c r="Y19" s="282"/>
      <c r="Z19" s="282"/>
      <c r="AB19" s="284" t="str">
        <f t="shared" si="2"/>
        <v>GoldAurubis AG</v>
      </c>
    </row>
    <row r="20" spans="1:28" s="283" customFormat="1" ht="25.15" customHeight="1">
      <c r="A20" s="235" t="s">
        <v>2973</v>
      </c>
      <c r="B20" s="236" t="s">
        <v>1263</v>
      </c>
      <c r="C20" s="242" t="s">
        <v>2972</v>
      </c>
      <c r="D20" s="236"/>
      <c r="E20" s="236" t="s">
        <v>1239</v>
      </c>
      <c r="F20" s="236" t="s">
        <v>2973</v>
      </c>
      <c r="G20" s="236" t="s">
        <v>14672</v>
      </c>
      <c r="H20" s="237"/>
      <c r="I20" s="238" t="s">
        <v>3038</v>
      </c>
      <c r="J20" s="238" t="s">
        <v>3039</v>
      </c>
      <c r="K20" s="240"/>
      <c r="L20" s="240"/>
      <c r="M20" s="240"/>
      <c r="N20" s="240"/>
      <c r="O20" s="240"/>
      <c r="P20" s="239" t="s">
        <v>15440</v>
      </c>
      <c r="Q20" s="241"/>
      <c r="R20" s="236" t="str">
        <f ca="1">IF(ISERROR($V20),"",OFFSET('Smelter Look-up'!$C$4,$V20-4,0)&amp;"")</f>
        <v>Bangalore Refinery</v>
      </c>
      <c r="S20" s="250" t="str">
        <f t="shared" ca="1" si="0"/>
        <v>IN</v>
      </c>
      <c r="T20" s="250" t="str">
        <f ca="1">IF(B20="","",IF(ISERROR(MATCH($J20,SorP!$B$1:$B$6230,0)),"",INDIRECT("'SorP'!$A$"&amp;MATCH($J20,SorP!$B$1:$B$6230,0))))</f>
        <v>IN-KA</v>
      </c>
      <c r="U20" s="280"/>
      <c r="V20" s="281">
        <f>IF(C20="",NA(),MATCH($B20&amp;$C20,'Smelter Look-up'!$J:$J,0))</f>
        <v>31</v>
      </c>
      <c r="W20" s="282"/>
      <c r="X20" s="282">
        <f t="shared" si="1"/>
        <v>0</v>
      </c>
      <c r="Y20" s="282"/>
      <c r="Z20" s="282"/>
      <c r="AB20" s="284" t="str">
        <f t="shared" si="2"/>
        <v>GoldBangalore Refinery</v>
      </c>
    </row>
    <row r="21" spans="1:28" s="283" customFormat="1" ht="25.15" customHeight="1">
      <c r="A21" s="235" t="s">
        <v>756</v>
      </c>
      <c r="B21" s="236" t="s">
        <v>1263</v>
      </c>
      <c r="C21" s="242" t="s">
        <v>1032</v>
      </c>
      <c r="D21" s="236"/>
      <c r="E21" s="236" t="s">
        <v>1009</v>
      </c>
      <c r="F21" s="236" t="s">
        <v>756</v>
      </c>
      <c r="G21" s="236" t="s">
        <v>14672</v>
      </c>
      <c r="H21" s="237"/>
      <c r="I21" s="238" t="s">
        <v>1818</v>
      </c>
      <c r="J21" s="238" t="s">
        <v>1818</v>
      </c>
      <c r="K21" s="240"/>
      <c r="L21" s="240"/>
      <c r="M21" s="240"/>
      <c r="N21" s="240"/>
      <c r="O21" s="240"/>
      <c r="P21" s="239" t="s">
        <v>15440</v>
      </c>
      <c r="Q21" s="241"/>
      <c r="R21" s="236" t="str">
        <f ca="1">IF(ISERROR($V21),"",OFFSET('Smelter Look-up'!$C$4,$V21-4,0)&amp;"")</f>
        <v>Bangko Sentral ng Pilipinas (Central Bank of the Philippines)</v>
      </c>
      <c r="S21" s="250" t="str">
        <f t="shared" ca="1" si="0"/>
        <v>PH</v>
      </c>
      <c r="T21" s="250" t="str">
        <f ca="1">IF(B21="","",IF(ISERROR(MATCH($J21,SorP!$B$1:$B$6230,0)),"",INDIRECT("'SorP'!$A$"&amp;MATCH($J21,SorP!$B$1:$B$6230,0))))</f>
        <v>DE-HH</v>
      </c>
      <c r="U21" s="280"/>
      <c r="V21" s="281">
        <f>IF(C21="",NA(),MATCH($B21&amp;$C21,'Smelter Look-up'!$J:$J,0))</f>
        <v>33</v>
      </c>
      <c r="W21" s="282"/>
      <c r="X21" s="282">
        <f t="shared" si="1"/>
        <v>0</v>
      </c>
      <c r="Y21" s="282"/>
      <c r="Z21" s="282"/>
      <c r="AB21" s="284" t="str">
        <f t="shared" si="2"/>
        <v>GoldBangko Sentral ng Pilipinas (Central Bank of the Philippines)</v>
      </c>
    </row>
    <row r="22" spans="1:28" s="283" customFormat="1" ht="25.15" customHeight="1">
      <c r="A22" s="235" t="s">
        <v>757</v>
      </c>
      <c r="B22" s="236" t="s">
        <v>1263</v>
      </c>
      <c r="C22" s="242" t="s">
        <v>1367</v>
      </c>
      <c r="D22" s="236"/>
      <c r="E22" s="236" t="s">
        <v>1015</v>
      </c>
      <c r="F22" s="236" t="s">
        <v>757</v>
      </c>
      <c r="G22" s="236" t="s">
        <v>14672</v>
      </c>
      <c r="H22" s="237"/>
      <c r="I22" s="238" t="s">
        <v>2687</v>
      </c>
      <c r="J22" s="238" t="s">
        <v>10575</v>
      </c>
      <c r="K22" s="240"/>
      <c r="L22" s="240"/>
      <c r="M22" s="240"/>
      <c r="N22" s="240"/>
      <c r="O22" s="240"/>
      <c r="P22" s="239" t="s">
        <v>15440</v>
      </c>
      <c r="Q22" s="241"/>
      <c r="R22" s="236" t="str">
        <f ca="1">IF(ISERROR($V22),"",OFFSET('Smelter Look-up'!$C$4,$V22-4,0)&amp;"")</f>
        <v>Boliden AB</v>
      </c>
      <c r="S22" s="250" t="str">
        <f t="shared" ca="1" si="0"/>
        <v>SE</v>
      </c>
      <c r="T22" s="250" t="str">
        <f ca="1">IF(B22="","",IF(ISERROR(MATCH($J22,SorP!$B$1:$B$6230,0)),"",INDIRECT("'SorP'!$A$"&amp;MATCH($J22,SorP!$B$1:$B$6230,0))))</f>
        <v>PH-RIZ</v>
      </c>
      <c r="U22" s="280"/>
      <c r="V22" s="281">
        <f>IF(C22="",NA(),MATCH($B22&amp;$C22,'Smelter Look-up'!$J:$J,0))</f>
        <v>34</v>
      </c>
      <c r="W22" s="282"/>
      <c r="X22" s="282">
        <f t="shared" si="1"/>
        <v>0</v>
      </c>
      <c r="Y22" s="282"/>
      <c r="Z22" s="282"/>
      <c r="AB22" s="284" t="str">
        <f t="shared" si="2"/>
        <v>GoldBoliden AB</v>
      </c>
    </row>
    <row r="23" spans="1:28" s="283" customFormat="1" ht="25.15" customHeight="1">
      <c r="A23" s="235" t="s">
        <v>759</v>
      </c>
      <c r="B23" s="236" t="s">
        <v>1263</v>
      </c>
      <c r="C23" s="242" t="s">
        <v>758</v>
      </c>
      <c r="D23" s="236"/>
      <c r="E23" s="236" t="s">
        <v>1234</v>
      </c>
      <c r="F23" s="236" t="s">
        <v>759</v>
      </c>
      <c r="G23" s="236" t="s">
        <v>14672</v>
      </c>
      <c r="H23" s="237"/>
      <c r="I23" s="238" t="s">
        <v>1820</v>
      </c>
      <c r="J23" s="347" t="s">
        <v>11423</v>
      </c>
      <c r="K23" s="345"/>
      <c r="L23" s="240"/>
      <c r="M23" s="240"/>
      <c r="N23" s="240"/>
      <c r="O23" s="240"/>
      <c r="P23" s="239" t="s">
        <v>15440</v>
      </c>
      <c r="Q23" s="241"/>
      <c r="R23" s="236" t="str">
        <f ca="1">IF(ISERROR($V23),"",OFFSET('Smelter Look-up'!$C$4,$V23-4,0)&amp;"")</f>
        <v>C. Hafner GmbH + Co. KG</v>
      </c>
      <c r="S23" s="250" t="str">
        <f t="shared" ca="1" si="0"/>
        <v>DE</v>
      </c>
      <c r="T23" s="250" t="str">
        <f ca="1">IF(B23="","",IF(ISERROR(MATCH($J23,SorP!$B$1:$B$6230,0)),"",INDIRECT("'SorP'!$A$"&amp;MATCH($J23,SorP!$B$1:$B$6230,0))))</f>
        <v>SE-AC</v>
      </c>
      <c r="U23" s="280"/>
      <c r="V23" s="281">
        <f>IF(C23="",NA(),MATCH($B23&amp;$C23,'Smelter Look-up'!$J:$J,0))</f>
        <v>35</v>
      </c>
      <c r="W23" s="282"/>
      <c r="X23" s="282">
        <f t="shared" si="1"/>
        <v>0</v>
      </c>
      <c r="Y23" s="282"/>
      <c r="Z23" s="282"/>
      <c r="AB23" s="284" t="str">
        <f t="shared" si="2"/>
        <v>GoldC. Hafner GmbH + Co. KG</v>
      </c>
    </row>
    <row r="24" spans="1:28" s="283" customFormat="1" ht="25.15" customHeight="1">
      <c r="A24" s="235" t="s">
        <v>760</v>
      </c>
      <c r="B24" s="236" t="s">
        <v>1263</v>
      </c>
      <c r="C24" s="242" t="s">
        <v>1033</v>
      </c>
      <c r="D24" s="236"/>
      <c r="E24" s="236" t="s">
        <v>1246</v>
      </c>
      <c r="F24" s="236" t="s">
        <v>760</v>
      </c>
      <c r="G24" s="236" t="s">
        <v>14672</v>
      </c>
      <c r="H24" s="237"/>
      <c r="I24" s="238" t="s">
        <v>1804</v>
      </c>
      <c r="J24" s="347" t="s">
        <v>1805</v>
      </c>
      <c r="K24" s="345"/>
      <c r="L24" s="240"/>
      <c r="M24" s="240"/>
      <c r="N24" s="240"/>
      <c r="O24" s="240"/>
      <c r="P24" s="239" t="s">
        <v>15440</v>
      </c>
      <c r="Q24" s="241"/>
      <c r="R24" s="236" t="str">
        <f ca="1">IF(ISERROR($V24),"",OFFSET('Smelter Look-up'!$C$4,$V24-4,0)&amp;"")</f>
        <v>Caridad</v>
      </c>
      <c r="S24" s="250" t="str">
        <f t="shared" ca="1" si="0"/>
        <v>MX</v>
      </c>
      <c r="T24" s="250" t="str">
        <f ca="1">IF(B24="","",IF(ISERROR(MATCH($J24,SorP!$B$1:$B$6230,0)),"",INDIRECT("'SorP'!$A$"&amp;MATCH($J24,SorP!$B$1:$B$6230,0))))</f>
        <v>DE-BW</v>
      </c>
      <c r="U24" s="280"/>
      <c r="V24" s="281">
        <f>IF(C24="",NA(),MATCH($B24&amp;$C24,'Smelter Look-up'!$J:$J,0))</f>
        <v>36</v>
      </c>
      <c r="W24" s="282"/>
      <c r="X24" s="282">
        <f t="shared" si="1"/>
        <v>0</v>
      </c>
      <c r="Y24" s="282"/>
      <c r="Z24" s="282"/>
      <c r="AB24" s="284" t="str">
        <f t="shared" si="2"/>
        <v>GoldCaridad</v>
      </c>
    </row>
    <row r="25" spans="1:28" s="283" customFormat="1" ht="25.15" customHeight="1">
      <c r="A25" s="235" t="s">
        <v>761</v>
      </c>
      <c r="B25" s="236" t="s">
        <v>1263</v>
      </c>
      <c r="C25" s="242" t="s">
        <v>2737</v>
      </c>
      <c r="D25" s="236"/>
      <c r="E25" s="236" t="s">
        <v>1229</v>
      </c>
      <c r="F25" s="236" t="s">
        <v>761</v>
      </c>
      <c r="G25" s="236" t="s">
        <v>14672</v>
      </c>
      <c r="H25" s="237"/>
      <c r="I25" s="238" t="s">
        <v>1821</v>
      </c>
      <c r="J25" s="238" t="s">
        <v>1822</v>
      </c>
      <c r="K25" s="240"/>
      <c r="L25" s="240"/>
      <c r="M25" s="240"/>
      <c r="N25" s="240"/>
      <c r="O25" s="240"/>
      <c r="P25" s="239" t="s">
        <v>15440</v>
      </c>
      <c r="Q25" s="241"/>
      <c r="R25" s="236" t="str">
        <f ca="1">IF(ISERROR($V25),"",OFFSET('Smelter Look-up'!$C$4,$V25-4,0)&amp;"")</f>
        <v>CCR Refinery - Glencore Canada Corporation</v>
      </c>
      <c r="S25" s="250" t="str">
        <f t="shared" ca="1" si="0"/>
        <v>CA</v>
      </c>
      <c r="T25" s="250" t="str">
        <f ca="1">IF(B25="","",IF(ISERROR(MATCH($J25,SorP!$B$1:$B$6230,0)),"",INDIRECT("'SorP'!$A$"&amp;MATCH($J25,SorP!$B$1:$B$6230,0))))</f>
        <v>MX-SON</v>
      </c>
      <c r="U25" s="280"/>
      <c r="V25" s="281">
        <f>IF(C25="",NA(),MATCH($B25&amp;$C25,'Smelter Look-up'!$J:$J,0))</f>
        <v>38</v>
      </c>
      <c r="W25" s="282"/>
      <c r="X25" s="282">
        <f t="shared" si="1"/>
        <v>0</v>
      </c>
      <c r="Y25" s="282"/>
      <c r="Z25" s="282"/>
      <c r="AB25" s="284" t="str">
        <f t="shared" si="2"/>
        <v>GoldCCR Refinery - Glencore Canada Corporation</v>
      </c>
    </row>
    <row r="26" spans="1:28" s="283" customFormat="1" ht="25.15" customHeight="1">
      <c r="A26" s="235" t="s">
        <v>762</v>
      </c>
      <c r="B26" s="236" t="s">
        <v>1263</v>
      </c>
      <c r="C26" s="242" t="s">
        <v>3248</v>
      </c>
      <c r="D26" s="236"/>
      <c r="E26" s="236" t="s">
        <v>1230</v>
      </c>
      <c r="F26" s="236" t="s">
        <v>762</v>
      </c>
      <c r="G26" s="236" t="s">
        <v>14672</v>
      </c>
      <c r="H26" s="237"/>
      <c r="I26" s="238" t="s">
        <v>1823</v>
      </c>
      <c r="J26" s="238" t="s">
        <v>1824</v>
      </c>
      <c r="K26" s="240"/>
      <c r="L26" s="240"/>
      <c r="M26" s="240"/>
      <c r="N26" s="240"/>
      <c r="O26" s="240"/>
      <c r="P26" s="239" t="s">
        <v>15440</v>
      </c>
      <c r="Q26" s="241"/>
      <c r="R26" s="236" t="str">
        <f ca="1">IF(ISERROR($V26),"",OFFSET('Smelter Look-up'!$C$4,$V26-4,0)&amp;"")</f>
        <v>Cendres + Metaux S.A.</v>
      </c>
      <c r="S26" s="250" t="str">
        <f t="shared" ca="1" si="0"/>
        <v>CH</v>
      </c>
      <c r="T26" s="250" t="str">
        <f ca="1">IF(B26="","",IF(ISERROR(MATCH($J26,SorP!$B$1:$B$6230,0)),"",INDIRECT("'SorP'!$A$"&amp;MATCH($J26,SorP!$B$1:$B$6230,0))))</f>
        <v>CA-QC</v>
      </c>
      <c r="U26" s="280"/>
      <c r="V26" s="281">
        <f>IF(C26="",NA(),MATCH($B26&amp;$C26,'Smelter Look-up'!$J:$J,0))</f>
        <v>40</v>
      </c>
      <c r="W26" s="282"/>
      <c r="X26" s="282">
        <f t="shared" si="1"/>
        <v>0</v>
      </c>
      <c r="Y26" s="282"/>
      <c r="Z26" s="282"/>
      <c r="AB26" s="284" t="str">
        <f t="shared" si="2"/>
        <v>GoldCendres + Metaux S.A.</v>
      </c>
    </row>
    <row r="27" spans="1:28" s="283" customFormat="1" ht="25.15" customHeight="1">
      <c r="A27" s="235" t="s">
        <v>763</v>
      </c>
      <c r="B27" s="236" t="s">
        <v>1263</v>
      </c>
      <c r="C27" s="242" t="s">
        <v>60</v>
      </c>
      <c r="D27" s="236"/>
      <c r="E27" s="236" t="s">
        <v>1240</v>
      </c>
      <c r="F27" s="236" t="s">
        <v>763</v>
      </c>
      <c r="G27" s="236" t="s">
        <v>14672</v>
      </c>
      <c r="H27" s="237"/>
      <c r="I27" s="238" t="s">
        <v>2075</v>
      </c>
      <c r="J27" s="238" t="s">
        <v>1851</v>
      </c>
      <c r="K27" s="240"/>
      <c r="L27" s="240"/>
      <c r="M27" s="240"/>
      <c r="N27" s="240"/>
      <c r="O27" s="240"/>
      <c r="P27" s="239" t="s">
        <v>15440</v>
      </c>
      <c r="Q27" s="241"/>
      <c r="R27" s="236" t="str">
        <f ca="1">IF(ISERROR($V27),"",OFFSET('Smelter Look-up'!$C$4,$V27-4,0)&amp;"")</f>
        <v>Chimet S.p.A.</v>
      </c>
      <c r="S27" s="250" t="str">
        <f t="shared" ca="1" si="0"/>
        <v>IT</v>
      </c>
      <c r="T27" s="250" t="str">
        <f ca="1">IF(B27="","",IF(ISERROR(MATCH($J27,SorP!$B$1:$B$6230,0)),"",INDIRECT("'SorP'!$A$"&amp;MATCH($J27,SorP!$B$1:$B$6230,0))))</f>
        <v>CN-43</v>
      </c>
      <c r="U27" s="280"/>
      <c r="V27" s="281">
        <f>IF(C27="",NA(),MATCH($B27&amp;$C27,'Smelter Look-up'!$J:$J,0))</f>
        <v>44</v>
      </c>
      <c r="W27" s="282"/>
      <c r="X27" s="282">
        <f t="shared" si="1"/>
        <v>0</v>
      </c>
      <c r="Y27" s="282"/>
      <c r="Z27" s="282"/>
      <c r="AB27" s="284" t="str">
        <f t="shared" si="2"/>
        <v>GoldChimet S.p.A.</v>
      </c>
    </row>
    <row r="28" spans="1:28" s="283" customFormat="1" ht="25.15" customHeight="1">
      <c r="A28" s="235" t="s">
        <v>764</v>
      </c>
      <c r="B28" s="236" t="s">
        <v>1263</v>
      </c>
      <c r="C28" s="242" t="s">
        <v>617</v>
      </c>
      <c r="D28" s="236"/>
      <c r="E28" s="236" t="s">
        <v>1241</v>
      </c>
      <c r="F28" s="236" t="s">
        <v>764</v>
      </c>
      <c r="G28" s="236" t="s">
        <v>14672</v>
      </c>
      <c r="H28" s="237"/>
      <c r="I28" s="238" t="s">
        <v>2032</v>
      </c>
      <c r="J28" s="238" t="s">
        <v>1866</v>
      </c>
      <c r="K28" s="240"/>
      <c r="L28" s="240"/>
      <c r="M28" s="240"/>
      <c r="N28" s="240"/>
      <c r="O28" s="240"/>
      <c r="P28" s="239" t="s">
        <v>15440</v>
      </c>
      <c r="Q28" s="241"/>
      <c r="R28" s="236" t="str">
        <f ca="1">IF(ISERROR($V28),"",OFFSET('Smelter Look-up'!$C$4,$V28-4,0)&amp;"")</f>
        <v>Chugai Mining</v>
      </c>
      <c r="S28" s="250" t="str">
        <f t="shared" ca="1" si="0"/>
        <v>JP</v>
      </c>
      <c r="T28" s="250" t="str">
        <f ca="1">IF(B28="","",IF(ISERROR(MATCH($J28,SorP!$B$1:$B$6230,0)),"",INDIRECT("'SorP'!$A$"&amp;MATCH($J28,SorP!$B$1:$B$6230,0))))</f>
        <v>CN-36</v>
      </c>
      <c r="U28" s="280"/>
      <c r="V28" s="281">
        <f>IF(C28="",NA(),MATCH($B28&amp;$C28,'Smelter Look-up'!$J:$J,0))</f>
        <v>47</v>
      </c>
      <c r="W28" s="282"/>
      <c r="X28" s="282">
        <f t="shared" si="1"/>
        <v>0</v>
      </c>
      <c r="Y28" s="282"/>
      <c r="Z28" s="282"/>
      <c r="AB28" s="284" t="str">
        <f t="shared" si="2"/>
        <v>GoldChugai Mining</v>
      </c>
    </row>
    <row r="29" spans="1:28" s="283" customFormat="1" ht="25.15" customHeight="1">
      <c r="A29" s="235" t="s">
        <v>765</v>
      </c>
      <c r="B29" s="236" t="s">
        <v>1263</v>
      </c>
      <c r="C29" s="242" t="s">
        <v>2605</v>
      </c>
      <c r="D29" s="236"/>
      <c r="E29" s="236" t="s">
        <v>1244</v>
      </c>
      <c r="F29" s="236" t="s">
        <v>765</v>
      </c>
      <c r="G29" s="236" t="s">
        <v>14672</v>
      </c>
      <c r="H29" s="237"/>
      <c r="I29" s="238" t="s">
        <v>2067</v>
      </c>
      <c r="J29" s="347" t="s">
        <v>14221</v>
      </c>
      <c r="K29" s="345"/>
      <c r="L29" s="240"/>
      <c r="M29" s="240"/>
      <c r="N29" s="240"/>
      <c r="O29" s="240"/>
      <c r="P29" s="239" t="s">
        <v>15440</v>
      </c>
      <c r="Q29" s="241"/>
      <c r="R29" s="236" t="str">
        <f ca="1">IF(ISERROR($V29),"",OFFSET('Smelter Look-up'!$C$4,$V29-4,0)&amp;"")</f>
        <v>Daejin Indus Co., Ltd.</v>
      </c>
      <c r="S29" s="250" t="str">
        <f t="shared" ca="1" si="0"/>
        <v>KR</v>
      </c>
      <c r="T29" s="250" t="str">
        <f ca="1">IF(B29="","",IF(ISERROR(MATCH($J29,SorP!$B$1:$B$6230,0)),"",INDIRECT("'SorP'!$A$"&amp;MATCH($J29,SorP!$B$1:$B$6230,0))))</f>
        <v>ID-BB</v>
      </c>
      <c r="U29" s="280"/>
      <c r="V29" s="281">
        <f>IF(C29="",NA(),MATCH($B29&amp;$C29,'Smelter Look-up'!$J:$J,0))</f>
        <v>48</v>
      </c>
      <c r="W29" s="282"/>
      <c r="X29" s="282">
        <f t="shared" si="1"/>
        <v>0</v>
      </c>
      <c r="Y29" s="282"/>
      <c r="Z29" s="282"/>
      <c r="AB29" s="284" t="str">
        <f t="shared" si="2"/>
        <v>GoldDaejin Indus Co., Ltd.</v>
      </c>
    </row>
    <row r="30" spans="1:28" s="283" customFormat="1" ht="25.15" customHeight="1">
      <c r="A30" s="235" t="s">
        <v>767</v>
      </c>
      <c r="B30" s="236" t="s">
        <v>1263</v>
      </c>
      <c r="C30" s="242" t="s">
        <v>766</v>
      </c>
      <c r="D30" s="236"/>
      <c r="E30" s="236" t="s">
        <v>1232</v>
      </c>
      <c r="F30" s="236" t="s">
        <v>767</v>
      </c>
      <c r="G30" s="236" t="s">
        <v>14672</v>
      </c>
      <c r="H30" s="237"/>
      <c r="I30" s="238" t="s">
        <v>2976</v>
      </c>
      <c r="J30" s="347" t="s">
        <v>14235</v>
      </c>
      <c r="K30" s="345"/>
      <c r="L30" s="240"/>
      <c r="M30" s="240"/>
      <c r="N30" s="240"/>
      <c r="O30" s="240"/>
      <c r="P30" s="239" t="s">
        <v>15440</v>
      </c>
      <c r="Q30" s="241"/>
      <c r="R30" s="236" t="str">
        <f ca="1">IF(ISERROR($V30),"",OFFSET('Smelter Look-up'!$C$4,$V30-4,0)&amp;"")</f>
        <v>Daye Non-Ferrous Metals Mining Ltd.</v>
      </c>
      <c r="S30" s="250" t="str">
        <f t="shared" ca="1" si="0"/>
        <v>CN</v>
      </c>
      <c r="T30" s="250" t="str">
        <f ca="1">IF(B30="","",IF(ISERROR(MATCH($J30,SorP!$B$1:$B$6230,0)),"",INDIRECT("'SorP'!$A$"&amp;MATCH($J30,SorP!$B$1:$B$6230,0))))</f>
        <v>KR-28</v>
      </c>
      <c r="U30" s="280"/>
      <c r="V30" s="281">
        <f>IF(C30="",NA(),MATCH($B30&amp;$C30,'Smelter Look-up'!$J:$J,0))</f>
        <v>50</v>
      </c>
      <c r="W30" s="282"/>
      <c r="X30" s="282">
        <f t="shared" si="1"/>
        <v>0</v>
      </c>
      <c r="Y30" s="282"/>
      <c r="Z30" s="282"/>
      <c r="AB30" s="284" t="str">
        <f t="shared" si="2"/>
        <v>GoldDaye Non-Ferrous Metals Mining Ltd.</v>
      </c>
    </row>
    <row r="31" spans="1:28" s="283" customFormat="1" ht="25.15" customHeight="1">
      <c r="A31" s="235" t="s">
        <v>3158</v>
      </c>
      <c r="B31" s="236" t="s">
        <v>1263</v>
      </c>
      <c r="C31" s="242" t="s">
        <v>3157</v>
      </c>
      <c r="D31" s="236"/>
      <c r="E31" s="236" t="s">
        <v>1234</v>
      </c>
      <c r="F31" s="236" t="s">
        <v>3158</v>
      </c>
      <c r="G31" s="236" t="s">
        <v>14672</v>
      </c>
      <c r="H31" s="237"/>
      <c r="I31" s="238" t="s">
        <v>1804</v>
      </c>
      <c r="J31" s="347" t="s">
        <v>1805</v>
      </c>
      <c r="K31" s="345"/>
      <c r="L31" s="240"/>
      <c r="M31" s="240"/>
      <c r="N31" s="240"/>
      <c r="O31" s="240"/>
      <c r="P31" s="239" t="s">
        <v>15440</v>
      </c>
      <c r="Q31" s="241"/>
      <c r="R31" s="236" t="str">
        <f ca="1">IF(ISERROR($V31),"",OFFSET('Smelter Look-up'!$C$4,$V31-4,0)&amp;"")</f>
        <v>Degussa Sonne / Mond Goldhandel GmbH</v>
      </c>
      <c r="S31" s="250" t="str">
        <f t="shared" ca="1" si="0"/>
        <v>DE</v>
      </c>
      <c r="T31" s="250" t="str">
        <f ca="1">IF(B31="","",IF(ISERROR(MATCH($J31,SorP!$B$1:$B$6230,0)),"",INDIRECT("'SorP'!$A$"&amp;MATCH($J31,SorP!$B$1:$B$6230,0))))</f>
        <v>DE-BW</v>
      </c>
      <c r="U31" s="280"/>
      <c r="V31" s="281">
        <f>IF(C31="",NA(),MATCH($B31&amp;$C31,'Smelter Look-up'!$J:$J,0))</f>
        <v>52</v>
      </c>
      <c r="W31" s="282"/>
      <c r="X31" s="282">
        <f t="shared" si="1"/>
        <v>0</v>
      </c>
      <c r="Y31" s="282"/>
      <c r="Z31" s="282"/>
      <c r="AB31" s="284" t="str">
        <f t="shared" si="2"/>
        <v>GoldDegussa Sonne / Mond Goldhandel GmbH</v>
      </c>
    </row>
    <row r="32" spans="1:28" s="283" customFormat="1" ht="25.15" customHeight="1">
      <c r="A32" s="235" t="s">
        <v>771</v>
      </c>
      <c r="B32" s="236" t="s">
        <v>1263</v>
      </c>
      <c r="C32" s="242" t="s">
        <v>1034</v>
      </c>
      <c r="D32" s="236"/>
      <c r="E32" s="236" t="s">
        <v>1241</v>
      </c>
      <c r="F32" s="236" t="s">
        <v>771</v>
      </c>
      <c r="G32" s="236" t="s">
        <v>14672</v>
      </c>
      <c r="H32" s="237"/>
      <c r="I32" s="238" t="s">
        <v>1837</v>
      </c>
      <c r="J32" s="238" t="s">
        <v>14240</v>
      </c>
      <c r="K32" s="240"/>
      <c r="L32" s="240"/>
      <c r="M32" s="240"/>
      <c r="N32" s="240"/>
      <c r="O32" s="240"/>
      <c r="P32" s="239" t="s">
        <v>15440</v>
      </c>
      <c r="Q32" s="241"/>
      <c r="R32" s="236" t="str">
        <f ca="1">IF(ISERROR($V32),"",OFFSET('Smelter Look-up'!$C$4,$V32-4,0)&amp;"")</f>
        <v>Dowa</v>
      </c>
      <c r="S32" s="250" t="str">
        <f t="shared" ca="1" si="0"/>
        <v>JP</v>
      </c>
      <c r="T32" s="250" t="str">
        <f ca="1">IF(B32="","",IF(ISERROR(MATCH($J32,SorP!$B$1:$B$6230,0)),"",INDIRECT("'SorP'!$A$"&amp;MATCH($J32,SorP!$B$1:$B$6230,0))))</f>
        <v>KR-41</v>
      </c>
      <c r="U32" s="280"/>
      <c r="V32" s="281">
        <f>IF(C32="",NA(),MATCH($B32&amp;$C32,'Smelter Look-up'!$J:$J,0))</f>
        <v>57</v>
      </c>
      <c r="W32" s="282"/>
      <c r="X32" s="282">
        <f t="shared" si="1"/>
        <v>0</v>
      </c>
      <c r="Y32" s="282"/>
      <c r="Z32" s="282"/>
      <c r="AB32" s="284" t="str">
        <f t="shared" si="2"/>
        <v>GoldDowa</v>
      </c>
    </row>
    <row r="33" spans="1:28" s="283" customFormat="1" ht="25.15" customHeight="1">
      <c r="A33" s="235" t="s">
        <v>768</v>
      </c>
      <c r="B33" s="236" t="s">
        <v>1263</v>
      </c>
      <c r="C33" s="242" t="s">
        <v>2755</v>
      </c>
      <c r="D33" s="236"/>
      <c r="E33" s="236" t="s">
        <v>1244</v>
      </c>
      <c r="F33" s="236" t="s">
        <v>768</v>
      </c>
      <c r="G33" s="236" t="s">
        <v>14672</v>
      </c>
      <c r="H33" s="237"/>
      <c r="I33" s="238" t="s">
        <v>1836</v>
      </c>
      <c r="J33" s="238" t="s">
        <v>4685</v>
      </c>
      <c r="K33" s="240"/>
      <c r="L33" s="240"/>
      <c r="M33" s="240"/>
      <c r="N33" s="240"/>
      <c r="O33" s="240"/>
      <c r="P33" s="239" t="s">
        <v>15440</v>
      </c>
      <c r="Q33" s="241"/>
      <c r="R33" s="236" t="str">
        <f ca="1">IF(ISERROR($V33),"",OFFSET('Smelter Look-up'!$C$4,$V33-4,0)&amp;"")</f>
        <v>DSC (Do Sung Corporation)</v>
      </c>
      <c r="S33" s="250" t="str">
        <f t="shared" ca="1" si="0"/>
        <v>KR</v>
      </c>
      <c r="T33" s="250" t="str">
        <f ca="1">IF(B33="","",IF(ISERROR(MATCH($J33,SorP!$B$1:$B$6230,0)),"",INDIRECT("'SorP'!$A$"&amp;MATCH($J33,SorP!$B$1:$B$6230,0))))</f>
        <v>CN-42</v>
      </c>
      <c r="U33" s="280"/>
      <c r="V33" s="281">
        <f>IF(C33="",NA(),MATCH($B33&amp;$C33,'Smelter Look-up'!$J:$J,0))</f>
        <v>62</v>
      </c>
      <c r="W33" s="282"/>
      <c r="X33" s="282">
        <f t="shared" si="1"/>
        <v>0</v>
      </c>
      <c r="Y33" s="282"/>
      <c r="Z33" s="282"/>
      <c r="AB33" s="284" t="str">
        <f t="shared" si="2"/>
        <v>GoldDSC (Do Sung Corporation)</v>
      </c>
    </row>
    <row r="34" spans="1:28" s="283" customFormat="1" ht="25.15" customHeight="1">
      <c r="A34" s="235" t="s">
        <v>466</v>
      </c>
      <c r="B34" s="236" t="s">
        <v>1263</v>
      </c>
      <c r="C34" s="242" t="s">
        <v>465</v>
      </c>
      <c r="D34" s="236"/>
      <c r="E34" s="236" t="s">
        <v>1241</v>
      </c>
      <c r="F34" s="236" t="s">
        <v>466</v>
      </c>
      <c r="G34" s="236" t="s">
        <v>14672</v>
      </c>
      <c r="H34" s="237"/>
      <c r="I34" s="238" t="s">
        <v>1838</v>
      </c>
      <c r="J34" s="238" t="s">
        <v>1839</v>
      </c>
      <c r="K34" s="240"/>
      <c r="L34" s="240"/>
      <c r="M34" s="240"/>
      <c r="N34" s="240"/>
      <c r="O34" s="240"/>
      <c r="P34" s="239" t="s">
        <v>15440</v>
      </c>
      <c r="Q34" s="241"/>
      <c r="R34" s="236" t="str">
        <f ca="1">IF(ISERROR($V34),"",OFFSET('Smelter Look-up'!$C$4,$V34-4,0)&amp;"")</f>
        <v>Eco-System Recycling Co., Ltd.</v>
      </c>
      <c r="S34" s="250" t="str">
        <f t="shared" ca="1" si="0"/>
        <v>JP</v>
      </c>
      <c r="T34" s="250" t="str">
        <f ca="1">IF(B34="","",IF(ISERROR(MATCH($J34,SorP!$B$1:$B$6230,0)),"",INDIRECT("'SorP'!$A$"&amp;MATCH($J34,SorP!$B$1:$B$6230,0))))</f>
        <v>JP-05</v>
      </c>
      <c r="U34" s="280"/>
      <c r="V34" s="281">
        <f>IF(C34="",NA(),MATCH($B34&amp;$C34,'Smelter Look-up'!$J:$J,0))</f>
        <v>63</v>
      </c>
      <c r="W34" s="282"/>
      <c r="X34" s="282">
        <f t="shared" si="1"/>
        <v>0</v>
      </c>
      <c r="Y34" s="282"/>
      <c r="Z34" s="282"/>
      <c r="AB34" s="284" t="str">
        <f t="shared" si="2"/>
        <v>GoldEco-System Recycling Co., Ltd.</v>
      </c>
    </row>
    <row r="35" spans="1:28" s="283" customFormat="1" ht="25.15" customHeight="1">
      <c r="A35" s="235" t="s">
        <v>814</v>
      </c>
      <c r="B35" s="236" t="s">
        <v>1263</v>
      </c>
      <c r="C35" s="242" t="s">
        <v>14008</v>
      </c>
      <c r="D35" s="236"/>
      <c r="E35" s="236" t="s">
        <v>3153</v>
      </c>
      <c r="F35" s="236" t="s">
        <v>814</v>
      </c>
      <c r="G35" s="236" t="s">
        <v>14672</v>
      </c>
      <c r="H35" s="237"/>
      <c r="I35" s="238" t="s">
        <v>1907</v>
      </c>
      <c r="J35" s="238" t="s">
        <v>1908</v>
      </c>
      <c r="K35" s="240"/>
      <c r="L35" s="240"/>
      <c r="M35" s="240"/>
      <c r="N35" s="240"/>
      <c r="O35" s="240"/>
      <c r="P35" s="239" t="s">
        <v>15440</v>
      </c>
      <c r="Q35" s="241"/>
      <c r="R35" s="236" t="str">
        <f ca="1">IF(ISERROR($V35),"",OFFSET('Smelter Look-up'!$C$4,$V35-4,0)&amp;"")</f>
        <v>Elemetal Refining, LLC</v>
      </c>
      <c r="S35" s="250" t="str">
        <f t="shared" ca="1" si="0"/>
        <v>US</v>
      </c>
      <c r="T35" s="250" t="str">
        <f ca="1">IF(B35="","",IF(ISERROR(MATCH($J35,SorP!$B$1:$B$6230,0)),"",INDIRECT("'SorP'!$A$"&amp;MATCH($J35,SorP!$B$1:$B$6230,0))))</f>
        <v>US-OH</v>
      </c>
      <c r="U35" s="280"/>
      <c r="V35" s="281">
        <f>IF(C35="",NA(),MATCH($B35&amp;$C35,'Smelter Look-up'!$J:$J,0))</f>
        <v>64</v>
      </c>
      <c r="W35" s="282"/>
      <c r="X35" s="282">
        <f t="shared" si="1"/>
        <v>0</v>
      </c>
      <c r="Y35" s="282"/>
      <c r="Z35" s="282"/>
      <c r="AB35" s="284" t="str">
        <f t="shared" si="2"/>
        <v>GoldElemetal Refining, LLC</v>
      </c>
    </row>
    <row r="36" spans="1:28" s="283" customFormat="1" ht="25.15" customHeight="1">
      <c r="A36" s="235" t="s">
        <v>1992</v>
      </c>
      <c r="B36" s="236" t="s">
        <v>1263</v>
      </c>
      <c r="C36" s="242" t="s">
        <v>1991</v>
      </c>
      <c r="D36" s="236"/>
      <c r="E36" s="236" t="s">
        <v>1224</v>
      </c>
      <c r="F36" s="236" t="s">
        <v>1992</v>
      </c>
      <c r="G36" s="236" t="s">
        <v>14672</v>
      </c>
      <c r="H36" s="237"/>
      <c r="I36" s="238" t="s">
        <v>1990</v>
      </c>
      <c r="J36" s="238" t="s">
        <v>3339</v>
      </c>
      <c r="K36" s="240"/>
      <c r="L36" s="240"/>
      <c r="M36" s="240"/>
      <c r="N36" s="240"/>
      <c r="O36" s="240"/>
      <c r="P36" s="239" t="s">
        <v>15440</v>
      </c>
      <c r="Q36" s="241"/>
      <c r="R36" s="236" t="str">
        <f ca="1">IF(ISERROR($V36),"",OFFSET('Smelter Look-up'!$C$4,$V36-4,0)&amp;"")</f>
        <v>Emirates Gold DMCC</v>
      </c>
      <c r="S36" s="250" t="str">
        <f t="shared" ca="1" si="0"/>
        <v>AE</v>
      </c>
      <c r="T36" s="250" t="str">
        <f ca="1">IF(B36="","",IF(ISERROR(MATCH($J36,SorP!$B$1:$B$6230,0)),"",INDIRECT("'SorP'!$A$"&amp;MATCH($J36,SorP!$B$1:$B$6230,0))))</f>
        <v>AE-DU</v>
      </c>
      <c r="U36" s="280"/>
      <c r="V36" s="281">
        <f>IF(C36="",NA(),MATCH($B36&amp;$C36,'Smelter Look-up'!$J:$J,0))</f>
        <v>65</v>
      </c>
      <c r="W36" s="282"/>
      <c r="X36" s="282">
        <f t="shared" si="1"/>
        <v>0</v>
      </c>
      <c r="Y36" s="282"/>
      <c r="Z36" s="282"/>
      <c r="AB36" s="284" t="str">
        <f t="shared" si="2"/>
        <v>GoldEmirates Gold DMCC</v>
      </c>
    </row>
    <row r="37" spans="1:28" s="283" customFormat="1" ht="25.15" customHeight="1">
      <c r="A37" s="235" t="s">
        <v>2978</v>
      </c>
      <c r="B37" s="236" t="s">
        <v>1263</v>
      </c>
      <c r="C37" s="242" t="s">
        <v>3252</v>
      </c>
      <c r="D37" s="236"/>
      <c r="E37" s="236" t="s">
        <v>1239</v>
      </c>
      <c r="F37" s="236" t="s">
        <v>2978</v>
      </c>
      <c r="G37" s="236" t="s">
        <v>14672</v>
      </c>
      <c r="H37" s="237"/>
      <c r="I37" s="238" t="s">
        <v>2979</v>
      </c>
      <c r="J37" s="238" t="s">
        <v>2980</v>
      </c>
      <c r="K37" s="240"/>
      <c r="L37" s="240"/>
      <c r="M37" s="240"/>
      <c r="N37" s="240"/>
      <c r="O37" s="240"/>
      <c r="P37" s="239" t="s">
        <v>15440</v>
      </c>
      <c r="Q37" s="241"/>
      <c r="R37" s="236" t="str">
        <f ca="1">IF(ISERROR($V37),"",OFFSET('Smelter Look-up'!$C$4,$V37-4,0)&amp;"")</f>
        <v>GCC Gujrat Gold Centre Pvt. Ltd.</v>
      </c>
      <c r="S37" s="250" t="str">
        <f t="shared" ca="1" si="0"/>
        <v>IN</v>
      </c>
      <c r="T37" s="250" t="str">
        <f ca="1">IF(B37="","",IF(ISERROR(MATCH($J37,SorP!$B$1:$B$6230,0)),"",INDIRECT("'SorP'!$A$"&amp;MATCH($J37,SorP!$B$1:$B$6230,0))))</f>
        <v>IN-GJ</v>
      </c>
      <c r="U37" s="280"/>
      <c r="V37" s="281">
        <f>IF(C37="",NA(),MATCH($B37&amp;$C37,'Smelter Look-up'!$J:$J,0))</f>
        <v>70</v>
      </c>
      <c r="W37" s="282"/>
      <c r="X37" s="282">
        <f t="shared" si="1"/>
        <v>0</v>
      </c>
      <c r="Y37" s="282"/>
      <c r="Z37" s="282"/>
      <c r="AB37" s="284" t="str">
        <f t="shared" si="2"/>
        <v>GoldGCC Gujrat Gold Centre Pvt. Ltd.</v>
      </c>
    </row>
    <row r="38" spans="1:28" s="283" customFormat="1" ht="25.15" customHeight="1">
      <c r="A38" s="235" t="s">
        <v>1978</v>
      </c>
      <c r="B38" s="236" t="s">
        <v>1263</v>
      </c>
      <c r="C38" s="242" t="s">
        <v>1977</v>
      </c>
      <c r="D38" s="236"/>
      <c r="E38" s="236" t="s">
        <v>3153</v>
      </c>
      <c r="F38" s="236" t="s">
        <v>1978</v>
      </c>
      <c r="G38" s="236" t="s">
        <v>14672</v>
      </c>
      <c r="H38" s="237"/>
      <c r="I38" s="238" t="s">
        <v>1800</v>
      </c>
      <c r="J38" s="238" t="s">
        <v>1801</v>
      </c>
      <c r="K38" s="240"/>
      <c r="L38" s="240"/>
      <c r="M38" s="240"/>
      <c r="N38" s="240"/>
      <c r="O38" s="240"/>
      <c r="P38" s="239" t="s">
        <v>15440</v>
      </c>
      <c r="Q38" s="241"/>
      <c r="R38" s="236" t="str">
        <f ca="1">IF(ISERROR($V38),"",OFFSET('Smelter Look-up'!$C$4,$V38-4,0)&amp;"")</f>
        <v>Geib Refining Corporation</v>
      </c>
      <c r="S38" s="250" t="str">
        <f t="shared" ca="1" si="0"/>
        <v>US</v>
      </c>
      <c r="T38" s="250" t="str">
        <f ca="1">IF(B38="","",IF(ISERROR(MATCH($J38,SorP!$B$1:$B$6230,0)),"",INDIRECT("'SorP'!$A$"&amp;MATCH($J38,SorP!$B$1:$B$6230,0))))</f>
        <v>US-RI</v>
      </c>
      <c r="U38" s="280"/>
      <c r="V38" s="281">
        <f>IF(C38="",NA(),MATCH($B38&amp;$C38,'Smelter Look-up'!$J:$J,0))</f>
        <v>71</v>
      </c>
      <c r="W38" s="282"/>
      <c r="X38" s="282">
        <f t="shared" si="1"/>
        <v>0</v>
      </c>
      <c r="Y38" s="282"/>
      <c r="Z38" s="282"/>
      <c r="AB38" s="284" t="str">
        <f t="shared" si="2"/>
        <v>GoldGeib Refining Corporation</v>
      </c>
    </row>
    <row r="39" spans="1:28" s="283" customFormat="1" ht="25.15" customHeight="1">
      <c r="A39" s="235" t="s">
        <v>847</v>
      </c>
      <c r="B39" s="236" t="s">
        <v>1263</v>
      </c>
      <c r="C39" s="242" t="s">
        <v>3251</v>
      </c>
      <c r="D39" s="236"/>
      <c r="E39" s="236" t="s">
        <v>1232</v>
      </c>
      <c r="F39" s="236" t="s">
        <v>847</v>
      </c>
      <c r="G39" s="236" t="s">
        <v>14672</v>
      </c>
      <c r="H39" s="237"/>
      <c r="I39" s="238" t="s">
        <v>1971</v>
      </c>
      <c r="J39" s="238" t="s">
        <v>1972</v>
      </c>
      <c r="K39" s="240"/>
      <c r="L39" s="240"/>
      <c r="M39" s="240"/>
      <c r="N39" s="240"/>
      <c r="O39" s="240"/>
      <c r="P39" s="239" t="s">
        <v>15440</v>
      </c>
      <c r="Q39" s="241"/>
      <c r="R39" s="236" t="str">
        <f ca="1">IF(ISERROR($V39),"",OFFSET('Smelter Look-up'!$C$4,$V39-4,0)&amp;"")</f>
        <v>Gold Refinery of Zijin Mining Group Co., Ltd.</v>
      </c>
      <c r="S39" s="250" t="str">
        <f t="shared" ca="1" si="0"/>
        <v>CN</v>
      </c>
      <c r="T39" s="250" t="str">
        <f ca="1">IF(B39="","",IF(ISERROR(MATCH($J39,SorP!$B$1:$B$6230,0)),"",INDIRECT("'SorP'!$A$"&amp;MATCH($J39,SorP!$B$1:$B$6230,0))))</f>
        <v>CN-35</v>
      </c>
      <c r="U39" s="280"/>
      <c r="V39" s="281">
        <f>IF(C39="",NA(),MATCH($B39&amp;$C39,'Smelter Look-up'!$J:$J,0))</f>
        <v>73</v>
      </c>
      <c r="W39" s="282"/>
      <c r="X39" s="282">
        <f t="shared" si="1"/>
        <v>0</v>
      </c>
      <c r="Y39" s="282"/>
      <c r="Z39" s="282"/>
      <c r="AB39" s="284" t="str">
        <f t="shared" si="2"/>
        <v>GoldGold Refinery of Zijin Mining Group Co., Ltd.</v>
      </c>
    </row>
    <row r="40" spans="1:28" s="283" customFormat="1" ht="25.15" customHeight="1">
      <c r="A40" s="235" t="s">
        <v>833</v>
      </c>
      <c r="B40" s="236" t="s">
        <v>1263</v>
      </c>
      <c r="C40" s="242" t="s">
        <v>2709</v>
      </c>
      <c r="D40" s="236"/>
      <c r="E40" s="236" t="s">
        <v>1232</v>
      </c>
      <c r="F40" s="236" t="s">
        <v>833</v>
      </c>
      <c r="G40" s="236" t="s">
        <v>14672</v>
      </c>
      <c r="H40" s="237"/>
      <c r="I40" s="238" t="s">
        <v>1935</v>
      </c>
      <c r="J40" s="238" t="s">
        <v>1936</v>
      </c>
      <c r="K40" s="240"/>
      <c r="L40" s="240"/>
      <c r="M40" s="240"/>
      <c r="N40" s="240"/>
      <c r="O40" s="240"/>
      <c r="P40" s="239" t="s">
        <v>15440</v>
      </c>
      <c r="Q40" s="241"/>
      <c r="R40" s="236" t="str">
        <f ca="1">IF(ISERROR($V40),"",OFFSET('Smelter Look-up'!$C$4,$V40-4,0)&amp;"")</f>
        <v>Great Wall Precious Metals Co., Ltd. of CBPM</v>
      </c>
      <c r="S40" s="250" t="str">
        <f t="shared" ca="1" si="0"/>
        <v>CN</v>
      </c>
      <c r="T40" s="250" t="str">
        <f ca="1">IF(B40="","",IF(ISERROR(MATCH($J40,SorP!$B$1:$B$6230,0)),"",INDIRECT("'SorP'!$A$"&amp;MATCH($J40,SorP!$B$1:$B$6230,0))))</f>
        <v>CN-51</v>
      </c>
      <c r="U40" s="280"/>
      <c r="V40" s="281">
        <f>IF(C40="",NA(),MATCH($B40&amp;$C40,'Smelter Look-up'!$J:$J,0))</f>
        <v>75</v>
      </c>
      <c r="W40" s="282"/>
      <c r="X40" s="282">
        <f t="shared" si="1"/>
        <v>0</v>
      </c>
      <c r="Y40" s="282"/>
      <c r="Z40" s="282"/>
      <c r="AB40" s="284" t="str">
        <f t="shared" si="2"/>
        <v>GoldGreat Wall Precious Metals Co., Ltd. of CBPM</v>
      </c>
    </row>
    <row r="41" spans="1:28" s="283" customFormat="1" ht="25.15" customHeight="1">
      <c r="A41" s="235" t="s">
        <v>775</v>
      </c>
      <c r="B41" s="236" t="s">
        <v>1263</v>
      </c>
      <c r="C41" s="242" t="s">
        <v>774</v>
      </c>
      <c r="D41" s="236"/>
      <c r="E41" s="236" t="s">
        <v>1232</v>
      </c>
      <c r="F41" s="236" t="s">
        <v>775</v>
      </c>
      <c r="G41" s="236" t="s">
        <v>14672</v>
      </c>
      <c r="H41" s="237"/>
      <c r="I41" s="238" t="s">
        <v>1974</v>
      </c>
      <c r="J41" s="238" t="s">
        <v>1975</v>
      </c>
      <c r="K41" s="240"/>
      <c r="L41" s="240"/>
      <c r="M41" s="240"/>
      <c r="N41" s="240"/>
      <c r="O41" s="240"/>
      <c r="P41" s="239" t="s">
        <v>15440</v>
      </c>
      <c r="Q41" s="241"/>
      <c r="R41" s="236" t="str">
        <f ca="1">IF(ISERROR($V41),"",OFFSET('Smelter Look-up'!$C$4,$V41-4,0)&amp;"")</f>
        <v>Guangdong Jinding Gold Limited</v>
      </c>
      <c r="S41" s="250" t="str">
        <f t="shared" ca="1" si="0"/>
        <v>CN</v>
      </c>
      <c r="T41" s="250" t="str">
        <f ca="1">IF(B41="","",IF(ISERROR(MATCH($J41,SorP!$B$1:$B$6230,0)),"",INDIRECT("'SorP'!$A$"&amp;MATCH($J41,SorP!$B$1:$B$6230,0))))</f>
        <v>CN-44</v>
      </c>
      <c r="U41" s="280"/>
      <c r="V41" s="281">
        <f>IF(C41="",NA(),MATCH($B41&amp;$C41,'Smelter Look-up'!$J:$J,0))</f>
        <v>77</v>
      </c>
      <c r="W41" s="282"/>
      <c r="X41" s="282">
        <f t="shared" si="1"/>
        <v>0</v>
      </c>
      <c r="Y41" s="282"/>
      <c r="Z41" s="282"/>
      <c r="AB41" s="284" t="str">
        <f t="shared" si="2"/>
        <v>GoldGuangdong Jinding Gold Limited</v>
      </c>
    </row>
    <row r="42" spans="1:28" s="283" customFormat="1" ht="25.15" customHeight="1">
      <c r="A42" s="235" t="s">
        <v>1849</v>
      </c>
      <c r="B42" s="236" t="s">
        <v>1263</v>
      </c>
      <c r="C42" s="242" t="s">
        <v>1848</v>
      </c>
      <c r="D42" s="236"/>
      <c r="E42" s="236" t="s">
        <v>1232</v>
      </c>
      <c r="F42" s="236" t="s">
        <v>1849</v>
      </c>
      <c r="G42" s="236" t="s">
        <v>14672</v>
      </c>
      <c r="H42" s="237"/>
      <c r="I42" s="238" t="s">
        <v>3170</v>
      </c>
      <c r="J42" s="238" t="s">
        <v>1830</v>
      </c>
      <c r="K42" s="240"/>
      <c r="L42" s="240"/>
      <c r="M42" s="240"/>
      <c r="N42" s="240"/>
      <c r="O42" s="240"/>
      <c r="P42" s="239" t="s">
        <v>15440</v>
      </c>
      <c r="Q42" s="241"/>
      <c r="R42" s="236" t="str">
        <f ca="1">IF(ISERROR($V42),"",OFFSET('Smelter Look-up'!$C$4,$V42-4,0)&amp;"")</f>
        <v>Guoda Safina High-Tech Environmental Refinery Co., Ltd.</v>
      </c>
      <c r="S42" s="250" t="str">
        <f t="shared" ca="1" si="0"/>
        <v>CN</v>
      </c>
      <c r="T42" s="250" t="str">
        <f ca="1">IF(B42="","",IF(ISERROR(MATCH($J42,SorP!$B$1:$B$6230,0)),"",INDIRECT("'SorP'!$A$"&amp;MATCH($J42,SorP!$B$1:$B$6230,0))))</f>
        <v>CN-53</v>
      </c>
      <c r="U42" s="280"/>
      <c r="V42" s="281">
        <f>IF(C42="",NA(),MATCH($B42&amp;$C42,'Smelter Look-up'!$J:$J,0))</f>
        <v>79</v>
      </c>
      <c r="W42" s="282"/>
      <c r="X42" s="282">
        <f t="shared" si="1"/>
        <v>0</v>
      </c>
      <c r="Y42" s="282"/>
      <c r="Z42" s="282"/>
      <c r="AB42" s="284" t="str">
        <f t="shared" si="2"/>
        <v>GoldGuoda Safina High-Tech Environmental Refinery Co., Ltd.</v>
      </c>
    </row>
    <row r="43" spans="1:28" s="283" customFormat="1" ht="25.15" customHeight="1">
      <c r="A43" s="235" t="s">
        <v>463</v>
      </c>
      <c r="B43" s="236" t="s">
        <v>1263</v>
      </c>
      <c r="C43" s="242" t="s">
        <v>462</v>
      </c>
      <c r="D43" s="236"/>
      <c r="E43" s="236" t="s">
        <v>1232</v>
      </c>
      <c r="F43" s="236" t="s">
        <v>463</v>
      </c>
      <c r="G43" s="236" t="s">
        <v>14672</v>
      </c>
      <c r="H43" s="237"/>
      <c r="I43" s="238" t="s">
        <v>1850</v>
      </c>
      <c r="J43" s="238" t="s">
        <v>1914</v>
      </c>
      <c r="K43" s="240"/>
      <c r="L43" s="240"/>
      <c r="M43" s="240"/>
      <c r="N43" s="240"/>
      <c r="O43" s="240"/>
      <c r="P43" s="239" t="s">
        <v>15440</v>
      </c>
      <c r="Q43" s="241"/>
      <c r="R43" s="236" t="str">
        <f ca="1">IF(ISERROR($V43),"",OFFSET('Smelter Look-up'!$C$4,$V43-4,0)&amp;"")</f>
        <v>Hangzhou Fuchunjiang Smelting Co., Ltd.</v>
      </c>
      <c r="S43" s="250" t="str">
        <f t="shared" ca="1" si="0"/>
        <v>CN</v>
      </c>
      <c r="T43" s="250" t="str">
        <f ca="1">IF(B43="","",IF(ISERROR(MATCH($J43,SorP!$B$1:$B$6230,0)),"",INDIRECT("'SorP'!$A$"&amp;MATCH($J43,SorP!$B$1:$B$6230,0))))</f>
        <v>CN-37</v>
      </c>
      <c r="U43" s="280"/>
      <c r="V43" s="281">
        <f>IF(C43="",NA(),MATCH($B43&amp;$C43,'Smelter Look-up'!$J:$J,0))</f>
        <v>80</v>
      </c>
      <c r="W43" s="282"/>
      <c r="X43" s="282">
        <f t="shared" si="1"/>
        <v>0</v>
      </c>
      <c r="Y43" s="282"/>
      <c r="Z43" s="282"/>
      <c r="AB43" s="284" t="str">
        <f t="shared" si="2"/>
        <v>GoldHangzhou Fuchunjiang Smelting Co., Ltd.</v>
      </c>
    </row>
    <row r="44" spans="1:28" s="283" customFormat="1" ht="25.15" customHeight="1">
      <c r="A44" s="235" t="s">
        <v>3254</v>
      </c>
      <c r="B44" s="236" t="s">
        <v>1263</v>
      </c>
      <c r="C44" s="242" t="s">
        <v>3253</v>
      </c>
      <c r="D44" s="236"/>
      <c r="E44" s="236" t="s">
        <v>1244</v>
      </c>
      <c r="F44" s="236" t="s">
        <v>3254</v>
      </c>
      <c r="G44" s="236" t="s">
        <v>14672</v>
      </c>
      <c r="H44" s="237"/>
      <c r="I44" s="238" t="s">
        <v>1853</v>
      </c>
      <c r="J44" s="238" t="s">
        <v>1854</v>
      </c>
      <c r="K44" s="240"/>
      <c r="L44" s="240"/>
      <c r="M44" s="240"/>
      <c r="N44" s="240"/>
      <c r="O44" s="240"/>
      <c r="P44" s="239" t="s">
        <v>15440</v>
      </c>
      <c r="Q44" s="241"/>
      <c r="R44" s="236" t="str">
        <f ca="1">IF(ISERROR($V44),"",OFFSET('Smelter Look-up'!$C$4,$V44-4,0)&amp;"")</f>
        <v>HeeSung Metal Ltd.</v>
      </c>
      <c r="S44" s="250" t="str">
        <f t="shared" ca="1" si="0"/>
        <v>KR</v>
      </c>
      <c r="T44" s="250" t="str">
        <f ca="1">IF(B44="","",IF(ISERROR(MATCH($J44,SorP!$B$1:$B$6230,0)),"",INDIRECT("'SorP'!$A$"&amp;MATCH($J44,SorP!$B$1:$B$6230,0))))</f>
        <v>CN-33</v>
      </c>
      <c r="U44" s="280"/>
      <c r="V44" s="281">
        <f>IF(C44="",NA(),MATCH($B44&amp;$C44,'Smelter Look-up'!$J:$J,0))</f>
        <v>81</v>
      </c>
      <c r="W44" s="282"/>
      <c r="X44" s="282">
        <f t="shared" si="1"/>
        <v>0</v>
      </c>
      <c r="Y44" s="282"/>
      <c r="Z44" s="282"/>
      <c r="AB44" s="284" t="str">
        <f t="shared" si="2"/>
        <v>GoldHeeSung Metal Ltd.</v>
      </c>
    </row>
    <row r="45" spans="1:28" s="283" customFormat="1" ht="25.15" customHeight="1">
      <c r="A45" s="235" t="s">
        <v>776</v>
      </c>
      <c r="B45" s="236" t="s">
        <v>1263</v>
      </c>
      <c r="C45" s="242" t="s">
        <v>1168</v>
      </c>
      <c r="D45" s="236"/>
      <c r="E45" s="236" t="s">
        <v>1234</v>
      </c>
      <c r="F45" s="236" t="s">
        <v>776</v>
      </c>
      <c r="G45" s="236" t="s">
        <v>14672</v>
      </c>
      <c r="H45" s="237"/>
      <c r="I45" s="238" t="s">
        <v>3255</v>
      </c>
      <c r="J45" s="347" t="s">
        <v>14235</v>
      </c>
      <c r="K45" s="345"/>
      <c r="L45" s="240"/>
      <c r="M45" s="240"/>
      <c r="N45" s="240"/>
      <c r="O45" s="240"/>
      <c r="P45" s="239" t="s">
        <v>15440</v>
      </c>
      <c r="Q45" s="241"/>
      <c r="R45" s="236" t="str">
        <f ca="1">IF(ISERROR($V45),"",OFFSET('Smelter Look-up'!$C$4,$V45-4,0)&amp;"")</f>
        <v>Heimerle + Meule GmbH</v>
      </c>
      <c r="S45" s="250" t="str">
        <f t="shared" ca="1" si="0"/>
        <v>DE</v>
      </c>
      <c r="T45" s="250" t="str">
        <f ca="1">IF(B45="","",IF(ISERROR(MATCH($J45,SorP!$B$1:$B$6230,0)),"",INDIRECT("'SorP'!$A$"&amp;MATCH($J45,SorP!$B$1:$B$6230,0))))</f>
        <v>KR-28</v>
      </c>
      <c r="U45" s="280"/>
      <c r="V45" s="281">
        <f>IF(C45="",NA(),MATCH($B45&amp;$C45,'Smelter Look-up'!$J:$J,0))</f>
        <v>82</v>
      </c>
      <c r="W45" s="282"/>
      <c r="X45" s="282">
        <f t="shared" si="1"/>
        <v>0</v>
      </c>
      <c r="Y45" s="282"/>
      <c r="Z45" s="282"/>
      <c r="AB45" s="284" t="str">
        <f t="shared" si="2"/>
        <v>GoldHeimerle + Meule GmbH</v>
      </c>
    </row>
    <row r="46" spans="1:28" s="283" customFormat="1" ht="25.15" customHeight="1">
      <c r="A46" s="235" t="s">
        <v>777</v>
      </c>
      <c r="B46" s="236" t="s">
        <v>1263</v>
      </c>
      <c r="C46" s="242" t="s">
        <v>3256</v>
      </c>
      <c r="D46" s="236"/>
      <c r="E46" s="236" t="s">
        <v>1232</v>
      </c>
      <c r="F46" s="236" t="s">
        <v>777</v>
      </c>
      <c r="G46" s="236" t="s">
        <v>14672</v>
      </c>
      <c r="H46" s="237"/>
      <c r="I46" s="238" t="s">
        <v>1804</v>
      </c>
      <c r="J46" s="347" t="s">
        <v>1805</v>
      </c>
      <c r="K46" s="345"/>
      <c r="L46" s="240"/>
      <c r="M46" s="240"/>
      <c r="N46" s="240"/>
      <c r="O46" s="240"/>
      <c r="P46" s="239" t="s">
        <v>15440</v>
      </c>
      <c r="Q46" s="241"/>
      <c r="R46" s="236" t="str">
        <f ca="1">IF(ISERROR($V46),"",OFFSET('Smelter Look-up'!$C$4,$V46-4,0)&amp;"")</f>
        <v>Heraeus Metals Hong Kong Ltd.</v>
      </c>
      <c r="S46" s="250" t="str">
        <f t="shared" ca="1" si="0"/>
        <v>CN</v>
      </c>
      <c r="T46" s="250" t="str">
        <f ca="1">IF(B46="","",IF(ISERROR(MATCH($J46,SorP!$B$1:$B$6230,0)),"",INDIRECT("'SorP'!$A$"&amp;MATCH($J46,SorP!$B$1:$B$6230,0))))</f>
        <v>DE-BW</v>
      </c>
      <c r="U46" s="280"/>
      <c r="V46" s="281">
        <f>IF(C46="",NA(),MATCH($B46&amp;$C46,'Smelter Look-up'!$J:$J,0))</f>
        <v>87</v>
      </c>
      <c r="W46" s="282"/>
      <c r="X46" s="282">
        <f t="shared" si="1"/>
        <v>0</v>
      </c>
      <c r="Y46" s="282"/>
      <c r="Z46" s="282"/>
      <c r="AB46" s="284" t="str">
        <f t="shared" si="2"/>
        <v>GoldHeraeus Metals Hong Kong Ltd.</v>
      </c>
    </row>
    <row r="47" spans="1:28" s="283" customFormat="1" ht="25.15" customHeight="1">
      <c r="A47" s="235" t="s">
        <v>778</v>
      </c>
      <c r="B47" s="236" t="s">
        <v>1263</v>
      </c>
      <c r="C47" s="242" t="s">
        <v>1368</v>
      </c>
      <c r="D47" s="236"/>
      <c r="E47" s="236" t="s">
        <v>1234</v>
      </c>
      <c r="F47" s="236" t="s">
        <v>778</v>
      </c>
      <c r="G47" s="236" t="s">
        <v>14672</v>
      </c>
      <c r="H47" s="237"/>
      <c r="I47" s="238" t="s">
        <v>1855</v>
      </c>
      <c r="J47" s="238" t="s">
        <v>1856</v>
      </c>
      <c r="K47" s="240"/>
      <c r="L47" s="240"/>
      <c r="M47" s="240"/>
      <c r="N47" s="240"/>
      <c r="O47" s="240"/>
      <c r="P47" s="239" t="s">
        <v>15440</v>
      </c>
      <c r="Q47" s="241"/>
      <c r="R47" s="236" t="str">
        <f ca="1">IF(ISERROR($V47),"",OFFSET('Smelter Look-up'!$C$4,$V47-4,0)&amp;"")</f>
        <v>Heraeus Precious Metals GmbH &amp; Co. KG</v>
      </c>
      <c r="S47" s="250" t="str">
        <f t="shared" ca="1" si="0"/>
        <v>DE</v>
      </c>
      <c r="T47" s="250" t="str">
        <f ca="1">IF(B47="","",IF(ISERROR(MATCH($J47,SorP!$B$1:$B$6230,0)),"",INDIRECT("'SorP'!$A$"&amp;MATCH($J47,SorP!$B$1:$B$6230,0))))</f>
        <v>CN-91</v>
      </c>
      <c r="U47" s="280"/>
      <c r="V47" s="281">
        <f>IF(C47="",NA(),MATCH($B47&amp;$C47,'Smelter Look-up'!$J:$J,0))</f>
        <v>88</v>
      </c>
      <c r="W47" s="282"/>
      <c r="X47" s="282">
        <f t="shared" si="1"/>
        <v>0</v>
      </c>
      <c r="Y47" s="282"/>
      <c r="Z47" s="282"/>
      <c r="AB47" s="284" t="str">
        <f t="shared" si="2"/>
        <v>GoldHeraeus Precious Metals GmbH &amp; Co. KG</v>
      </c>
    </row>
    <row r="48" spans="1:28" s="283" customFormat="1" ht="25.15" customHeight="1">
      <c r="A48" s="235" t="s">
        <v>779</v>
      </c>
      <c r="B48" s="236" t="s">
        <v>1263</v>
      </c>
      <c r="C48" s="242" t="s">
        <v>2704</v>
      </c>
      <c r="D48" s="236"/>
      <c r="E48" s="236" t="s">
        <v>1232</v>
      </c>
      <c r="F48" s="236" t="s">
        <v>779</v>
      </c>
      <c r="G48" s="236" t="s">
        <v>14672</v>
      </c>
      <c r="H48" s="237"/>
      <c r="I48" s="238" t="s">
        <v>2074</v>
      </c>
      <c r="J48" s="238" t="s">
        <v>1866</v>
      </c>
      <c r="K48" s="240"/>
      <c r="L48" s="240"/>
      <c r="M48" s="240"/>
      <c r="N48" s="240"/>
      <c r="O48" s="240"/>
      <c r="P48" s="239" t="s">
        <v>15440</v>
      </c>
      <c r="Q48" s="241"/>
      <c r="R48" s="236" t="str">
        <f ca="1">IF(ISERROR($V48),"",OFFSET('Smelter Look-up'!$C$4,$V48-4,0)&amp;"")</f>
        <v>Hunan Chenzhou Mining Co., Ltd.</v>
      </c>
      <c r="S48" s="250" t="str">
        <f t="shared" ca="1" si="0"/>
        <v>CN</v>
      </c>
      <c r="T48" s="250" t="str">
        <f ca="1">IF(B48="","",IF(ISERROR(MATCH($J48,SorP!$B$1:$B$6230,0)),"",INDIRECT("'SorP'!$A$"&amp;MATCH($J48,SorP!$B$1:$B$6230,0))))</f>
        <v>CN-36</v>
      </c>
      <c r="U48" s="280"/>
      <c r="V48" s="281">
        <f>IF(C48="",NA(),MATCH($B48&amp;$C48,'Smelter Look-up'!$J:$J,0))</f>
        <v>89</v>
      </c>
      <c r="W48" s="282"/>
      <c r="X48" s="282">
        <f t="shared" si="1"/>
        <v>0</v>
      </c>
      <c r="Y48" s="282"/>
      <c r="Z48" s="282"/>
      <c r="AB48" s="284" t="str">
        <f t="shared" si="2"/>
        <v>GoldHunan Chenzhou Mining Co., Ltd.</v>
      </c>
    </row>
    <row r="49" spans="1:28" s="283" customFormat="1" ht="25.15" customHeight="1">
      <c r="A49" s="235" t="s">
        <v>780</v>
      </c>
      <c r="B49" s="236" t="s">
        <v>1263</v>
      </c>
      <c r="C49" s="242" t="s">
        <v>3257</v>
      </c>
      <c r="D49" s="236"/>
      <c r="E49" s="236" t="s">
        <v>1244</v>
      </c>
      <c r="F49" s="236" t="s">
        <v>780</v>
      </c>
      <c r="G49" s="236" t="s">
        <v>14672</v>
      </c>
      <c r="H49" s="237"/>
      <c r="I49" s="238" t="s">
        <v>2594</v>
      </c>
      <c r="J49" s="238" t="s">
        <v>1851</v>
      </c>
      <c r="K49" s="240"/>
      <c r="L49" s="240"/>
      <c r="M49" s="240"/>
      <c r="N49" s="240"/>
      <c r="O49" s="240"/>
      <c r="P49" s="239" t="s">
        <v>15440</v>
      </c>
      <c r="Q49" s="241"/>
      <c r="R49" s="236" t="str">
        <f ca="1">IF(ISERROR($V49),"",OFFSET('Smelter Look-up'!$C$4,$V49-4,0)&amp;"")</f>
        <v>HwaSeong CJ CO., LTD.</v>
      </c>
      <c r="S49" s="250" t="str">
        <f t="shared" ca="1" si="0"/>
        <v>KR</v>
      </c>
      <c r="T49" s="250" t="str">
        <f ca="1">IF(B49="","",IF(ISERROR(MATCH($J49,SorP!$B$1:$B$6230,0)),"",INDIRECT("'SorP'!$A$"&amp;MATCH($J49,SorP!$B$1:$B$6230,0))))</f>
        <v>CN-43</v>
      </c>
      <c r="U49" s="280"/>
      <c r="V49" s="281">
        <f>IF(C49="",NA(),MATCH($B49&amp;$C49,'Smelter Look-up'!$J:$J,0))</f>
        <v>94</v>
      </c>
      <c r="W49" s="282"/>
      <c r="X49" s="282">
        <f t="shared" si="1"/>
        <v>0</v>
      </c>
      <c r="Y49" s="282"/>
      <c r="Z49" s="282"/>
      <c r="AB49" s="284" t="str">
        <f t="shared" si="2"/>
        <v>GoldHwaSeong CJ CO., LTD.</v>
      </c>
    </row>
    <row r="50" spans="1:28" s="283" customFormat="1" ht="25.15" customHeight="1">
      <c r="A50" s="235" t="s">
        <v>781</v>
      </c>
      <c r="B50" s="236" t="s">
        <v>1263</v>
      </c>
      <c r="C50" s="242" t="s">
        <v>2981</v>
      </c>
      <c r="D50" s="236"/>
      <c r="E50" s="236" t="s">
        <v>1232</v>
      </c>
      <c r="F50" s="236" t="s">
        <v>781</v>
      </c>
      <c r="G50" s="236" t="s">
        <v>14672</v>
      </c>
      <c r="H50" s="237"/>
      <c r="I50" s="238" t="s">
        <v>1860</v>
      </c>
      <c r="J50" s="238" t="s">
        <v>14240</v>
      </c>
      <c r="K50" s="240"/>
      <c r="L50" s="240"/>
      <c r="M50" s="240"/>
      <c r="N50" s="240"/>
      <c r="O50" s="240"/>
      <c r="P50" s="239" t="s">
        <v>15440</v>
      </c>
      <c r="Q50" s="241"/>
      <c r="R50" s="236" t="str">
        <f ca="1">IF(ISERROR($V50),"",OFFSET('Smelter Look-up'!$C$4,$V50-4,0)&amp;"")</f>
        <v>Inner Mongolia Qiankun Gold and Silver Refinery Share Co., Ltd.</v>
      </c>
      <c r="S50" s="250" t="str">
        <f t="shared" ca="1" si="0"/>
        <v>CN</v>
      </c>
      <c r="T50" s="250" t="str">
        <f ca="1">IF(B50="","",IF(ISERROR(MATCH($J50,SorP!$B$1:$B$6230,0)),"",INDIRECT("'SorP'!$A$"&amp;MATCH($J50,SorP!$B$1:$B$6230,0))))</f>
        <v>KR-41</v>
      </c>
      <c r="U50" s="280"/>
      <c r="V50" s="281">
        <f>IF(C50="",NA(),MATCH($B50&amp;$C50,'Smelter Look-up'!$J:$J,0))</f>
        <v>95</v>
      </c>
      <c r="W50" s="282"/>
      <c r="X50" s="282">
        <f t="shared" si="1"/>
        <v>0</v>
      </c>
      <c r="Y50" s="282"/>
      <c r="Z50" s="282"/>
      <c r="AB50" s="284" t="str">
        <f t="shared" si="2"/>
        <v>GoldInner Mongolia Qiankun Gold and Silver Refinery Share Co., Ltd.</v>
      </c>
    </row>
    <row r="51" spans="1:28" s="283" customFormat="1" ht="25.15" customHeight="1">
      <c r="A51" s="235" t="s">
        <v>782</v>
      </c>
      <c r="B51" s="236" t="s">
        <v>1263</v>
      </c>
      <c r="C51" s="242" t="s">
        <v>1369</v>
      </c>
      <c r="D51" s="236"/>
      <c r="E51" s="236" t="s">
        <v>1241</v>
      </c>
      <c r="F51" s="236" t="s">
        <v>782</v>
      </c>
      <c r="G51" s="236" t="s">
        <v>14672</v>
      </c>
      <c r="H51" s="237"/>
      <c r="I51" s="238" t="s">
        <v>1861</v>
      </c>
      <c r="J51" s="238" t="s">
        <v>4668</v>
      </c>
      <c r="K51" s="240"/>
      <c r="L51" s="240"/>
      <c r="M51" s="240"/>
      <c r="N51" s="240"/>
      <c r="O51" s="240"/>
      <c r="P51" s="239" t="s">
        <v>15440</v>
      </c>
      <c r="Q51" s="241"/>
      <c r="R51" s="236" t="str">
        <f ca="1">IF(ISERROR($V51),"",OFFSET('Smelter Look-up'!$C$4,$V51-4,0)&amp;"")</f>
        <v>Ishifuku Metal Industry Co., Ltd.</v>
      </c>
      <c r="S51" s="250" t="str">
        <f t="shared" ca="1" si="0"/>
        <v>JP</v>
      </c>
      <c r="T51" s="250" t="str">
        <f ca="1">IF(B51="","",IF(ISERROR(MATCH($J51,SorP!$B$1:$B$6230,0)),"",INDIRECT("'SorP'!$A$"&amp;MATCH($J51,SorP!$B$1:$B$6230,0))))</f>
        <v>CN-15</v>
      </c>
      <c r="U51" s="280"/>
      <c r="V51" s="281">
        <f>IF(C51="",NA(),MATCH($B51&amp;$C51,'Smelter Look-up'!$J:$J,0))</f>
        <v>96</v>
      </c>
      <c r="W51" s="282"/>
      <c r="X51" s="282">
        <f t="shared" si="1"/>
        <v>0</v>
      </c>
      <c r="Y51" s="282"/>
      <c r="Z51" s="282"/>
      <c r="AB51" s="284" t="str">
        <f t="shared" si="2"/>
        <v>GoldIshifuku Metal Industry Co., Ltd.</v>
      </c>
    </row>
    <row r="52" spans="1:28" s="283" customFormat="1" ht="25.15" customHeight="1">
      <c r="A52" s="235" t="s">
        <v>783</v>
      </c>
      <c r="B52" s="236" t="s">
        <v>1263</v>
      </c>
      <c r="C52" s="242" t="s">
        <v>1376</v>
      </c>
      <c r="D52" s="236"/>
      <c r="E52" s="236" t="s">
        <v>1017</v>
      </c>
      <c r="F52" s="236" t="s">
        <v>783</v>
      </c>
      <c r="G52" s="236" t="s">
        <v>14672</v>
      </c>
      <c r="H52" s="237"/>
      <c r="I52" s="238" t="s">
        <v>1862</v>
      </c>
      <c r="J52" s="238" t="s">
        <v>1844</v>
      </c>
      <c r="K52" s="240"/>
      <c r="L52" s="240"/>
      <c r="M52" s="240"/>
      <c r="N52" s="240"/>
      <c r="O52" s="240"/>
      <c r="P52" s="239" t="s">
        <v>15440</v>
      </c>
      <c r="Q52" s="241"/>
      <c r="R52" s="236" t="str">
        <f ca="1">IF(ISERROR($V52),"",OFFSET('Smelter Look-up'!$C$4,$V52-4,0)&amp;"")</f>
        <v>Istanbul Gold Refinery</v>
      </c>
      <c r="S52" s="250" t="str">
        <f t="shared" ca="1" si="0"/>
        <v>TR</v>
      </c>
      <c r="T52" s="250" t="str">
        <f ca="1">IF(B52="","",IF(ISERROR(MATCH($J52,SorP!$B$1:$B$6230,0)),"",INDIRECT("'SorP'!$A$"&amp;MATCH($J52,SorP!$B$1:$B$6230,0))))</f>
        <v>JP-11</v>
      </c>
      <c r="U52" s="280"/>
      <c r="V52" s="281">
        <f>IF(C52="",NA(),MATCH($B52&amp;$C52,'Smelter Look-up'!$J:$J,0))</f>
        <v>97</v>
      </c>
      <c r="W52" s="282"/>
      <c r="X52" s="282">
        <f t="shared" si="1"/>
        <v>0</v>
      </c>
      <c r="Y52" s="282"/>
      <c r="Z52" s="282"/>
      <c r="AB52" s="284" t="str">
        <f t="shared" si="2"/>
        <v>GoldIstanbul Gold Refinery</v>
      </c>
    </row>
    <row r="53" spans="1:28" s="283" customFormat="1" ht="25.15" customHeight="1">
      <c r="A53" s="235" t="s">
        <v>3259</v>
      </c>
      <c r="B53" s="236" t="s">
        <v>1263</v>
      </c>
      <c r="C53" s="242" t="s">
        <v>3258</v>
      </c>
      <c r="D53" s="236"/>
      <c r="E53" s="236" t="s">
        <v>1240</v>
      </c>
      <c r="F53" s="236" t="s">
        <v>3259</v>
      </c>
      <c r="G53" s="236" t="s">
        <v>14672</v>
      </c>
      <c r="H53" s="237"/>
      <c r="I53" s="238" t="s">
        <v>1832</v>
      </c>
      <c r="J53" s="238" t="s">
        <v>7391</v>
      </c>
      <c r="K53" s="240"/>
      <c r="L53" s="240"/>
      <c r="M53" s="240"/>
      <c r="N53" s="240"/>
      <c r="O53" s="240"/>
      <c r="P53" s="239" t="s">
        <v>15440</v>
      </c>
      <c r="Q53" s="241"/>
      <c r="R53" s="236" t="str">
        <f ca="1">IF(ISERROR($V53),"",OFFSET('Smelter Look-up'!$C$4,$V53-4,0)&amp;"")</f>
        <v>Italpreziosi</v>
      </c>
      <c r="S53" s="250" t="str">
        <f t="shared" ca="1" si="0"/>
        <v>IT</v>
      </c>
      <c r="T53" s="250" t="str">
        <f ca="1">IF(B53="","",IF(ISERROR(MATCH($J53,SorP!$B$1:$B$6230,0)),"",INDIRECT("'SorP'!$A$"&amp;MATCH($J53,SorP!$B$1:$B$6230,0))))</f>
        <v>IT-52</v>
      </c>
      <c r="U53" s="280"/>
      <c r="V53" s="281">
        <f>IF(C53="",NA(),MATCH($B53&amp;$C53,'Smelter Look-up'!$J:$J,0))</f>
        <v>98</v>
      </c>
      <c r="W53" s="282"/>
      <c r="X53" s="282">
        <f t="shared" si="1"/>
        <v>0</v>
      </c>
      <c r="Y53" s="282"/>
      <c r="Z53" s="282"/>
      <c r="AB53" s="284" t="str">
        <f t="shared" si="2"/>
        <v>GoldItalpreziosi</v>
      </c>
    </row>
    <row r="54" spans="1:28" s="283" customFormat="1" ht="25.15" customHeight="1">
      <c r="A54" s="235" t="s">
        <v>784</v>
      </c>
      <c r="B54" s="236" t="s">
        <v>1263</v>
      </c>
      <c r="C54" s="242" t="s">
        <v>1036</v>
      </c>
      <c r="D54" s="236"/>
      <c r="E54" s="236" t="s">
        <v>1241</v>
      </c>
      <c r="F54" s="236" t="s">
        <v>784</v>
      </c>
      <c r="G54" s="236" t="s">
        <v>14672</v>
      </c>
      <c r="H54" s="237"/>
      <c r="I54" s="238" t="s">
        <v>1863</v>
      </c>
      <c r="J54" s="238" t="s">
        <v>12419</v>
      </c>
      <c r="K54" s="240"/>
      <c r="L54" s="240"/>
      <c r="M54" s="240"/>
      <c r="N54" s="240"/>
      <c r="O54" s="240"/>
      <c r="P54" s="239" t="s">
        <v>15440</v>
      </c>
      <c r="Q54" s="241"/>
      <c r="R54" s="236" t="str">
        <f ca="1">IF(ISERROR($V54),"",OFFSET('Smelter Look-up'!$C$4,$V54-4,0)&amp;"")</f>
        <v>Japan Mint</v>
      </c>
      <c r="S54" s="250" t="str">
        <f t="shared" ca="1" si="0"/>
        <v>JP</v>
      </c>
      <c r="T54" s="250" t="str">
        <f ca="1">IF(B54="","",IF(ISERROR(MATCH($J54,SorP!$B$1:$B$6230,0)),"",INDIRECT("'SorP'!$A$"&amp;MATCH($J54,SorP!$B$1:$B$6230,0))))</f>
        <v>TR-34</v>
      </c>
      <c r="U54" s="280"/>
      <c r="V54" s="281">
        <f>IF(C54="",NA(),MATCH($B54&amp;$C54,'Smelter Look-up'!$J:$J,0))</f>
        <v>99</v>
      </c>
      <c r="W54" s="282"/>
      <c r="X54" s="282">
        <f t="shared" si="1"/>
        <v>0</v>
      </c>
      <c r="Y54" s="282"/>
      <c r="Z54" s="282"/>
      <c r="AB54" s="284" t="str">
        <f t="shared" si="2"/>
        <v>GoldJapan Mint</v>
      </c>
    </row>
    <row r="55" spans="1:28" s="283" customFormat="1" ht="25.15" customHeight="1">
      <c r="A55" s="235" t="s">
        <v>785</v>
      </c>
      <c r="B55" s="236" t="s">
        <v>1263</v>
      </c>
      <c r="C55" s="242" t="s">
        <v>2982</v>
      </c>
      <c r="D55" s="236"/>
      <c r="E55" s="236" t="s">
        <v>1232</v>
      </c>
      <c r="F55" s="236" t="s">
        <v>785</v>
      </c>
      <c r="G55" s="236" t="s">
        <v>14672</v>
      </c>
      <c r="H55" s="237"/>
      <c r="I55" s="238" t="s">
        <v>1864</v>
      </c>
      <c r="J55" s="238" t="s">
        <v>1864</v>
      </c>
      <c r="K55" s="240"/>
      <c r="L55" s="240"/>
      <c r="M55" s="240"/>
      <c r="N55" s="240"/>
      <c r="O55" s="240"/>
      <c r="P55" s="239" t="s">
        <v>15440</v>
      </c>
      <c r="Q55" s="241"/>
      <c r="R55" s="236" t="str">
        <f ca="1">IF(ISERROR($V55),"",OFFSET('Smelter Look-up'!$C$4,$V55-4,0)&amp;"")</f>
        <v>Jiangxi Copper Co., Ltd.</v>
      </c>
      <c r="S55" s="250" t="str">
        <f t="shared" ca="1" si="0"/>
        <v>CN</v>
      </c>
      <c r="T55" s="250" t="str">
        <f ca="1">IF(B55="","",IF(ISERROR(MATCH($J55,SorP!$B$1:$B$6230,0)),"",INDIRECT("'SorP'!$A$"&amp;MATCH($J55,SorP!$B$1:$B$6230,0))))</f>
        <v>JP-27</v>
      </c>
      <c r="U55" s="280"/>
      <c r="V55" s="281">
        <f>IF(C55="",NA(),MATCH($B55&amp;$C55,'Smelter Look-up'!$J:$J,0))</f>
        <v>101</v>
      </c>
      <c r="W55" s="282"/>
      <c r="X55" s="282">
        <f t="shared" si="1"/>
        <v>0</v>
      </c>
      <c r="Y55" s="282"/>
      <c r="Z55" s="282"/>
      <c r="AB55" s="284" t="str">
        <f t="shared" si="2"/>
        <v>GoldJiangxi Copper Co., Ltd.</v>
      </c>
    </row>
    <row r="56" spans="1:28" s="283" customFormat="1" ht="25.15" customHeight="1">
      <c r="A56" s="235" t="s">
        <v>790</v>
      </c>
      <c r="B56" s="236" t="s">
        <v>1263</v>
      </c>
      <c r="C56" s="242" t="s">
        <v>62</v>
      </c>
      <c r="D56" s="236"/>
      <c r="E56" s="236" t="s">
        <v>1241</v>
      </c>
      <c r="F56" s="236" t="s">
        <v>790</v>
      </c>
      <c r="G56" s="236" t="s">
        <v>14672</v>
      </c>
      <c r="H56" s="237"/>
      <c r="I56" s="238" t="s">
        <v>1871</v>
      </c>
      <c r="J56" s="238" t="s">
        <v>1872</v>
      </c>
      <c r="K56" s="240"/>
      <c r="L56" s="240"/>
      <c r="M56" s="240"/>
      <c r="N56" s="240"/>
      <c r="O56" s="240"/>
      <c r="P56" s="239" t="s">
        <v>15440</v>
      </c>
      <c r="Q56" s="241"/>
      <c r="R56" s="236" t="str">
        <f ca="1">IF(ISERROR($V56),"",OFFSET('Smelter Look-up'!$C$4,$V56-4,0)&amp;"")</f>
        <v>JX Nippon Mining &amp; Metals Co., Ltd.</v>
      </c>
      <c r="S56" s="250" t="str">
        <f t="shared" ca="1" si="0"/>
        <v>JP</v>
      </c>
      <c r="T56" s="250" t="str">
        <f ca="1">IF(B56="","",IF(ISERROR(MATCH($J56,SorP!$B$1:$B$6230,0)),"",INDIRECT("'SorP'!$A$"&amp;MATCH($J56,SorP!$B$1:$B$6230,0))))</f>
        <v>CA-ON</v>
      </c>
      <c r="U56" s="280"/>
      <c r="V56" s="281">
        <f>IF(C56="",NA(),MATCH($B56&amp;$C56,'Smelter Look-up'!$J:$J,0))</f>
        <v>108</v>
      </c>
      <c r="W56" s="282"/>
      <c r="X56" s="282">
        <f t="shared" si="1"/>
        <v>0</v>
      </c>
      <c r="Y56" s="282"/>
      <c r="Z56" s="282"/>
      <c r="AB56" s="284" t="str">
        <f t="shared" si="2"/>
        <v>GoldJX Nippon Mining &amp; Metals Co., Ltd.</v>
      </c>
    </row>
    <row r="57" spans="1:28" s="283" customFormat="1" ht="25.15" customHeight="1">
      <c r="A57" s="235" t="s">
        <v>2677</v>
      </c>
      <c r="B57" s="236" t="s">
        <v>1263</v>
      </c>
      <c r="C57" s="242" t="s">
        <v>2676</v>
      </c>
      <c r="D57" s="236"/>
      <c r="E57" s="236" t="s">
        <v>1242</v>
      </c>
      <c r="F57" s="236" t="s">
        <v>2677</v>
      </c>
      <c r="G57" s="236" t="s">
        <v>14672</v>
      </c>
      <c r="H57" s="237"/>
      <c r="I57" s="238" t="s">
        <v>3170</v>
      </c>
      <c r="J57" s="238" t="s">
        <v>1830</v>
      </c>
      <c r="K57" s="240"/>
      <c r="L57" s="240"/>
      <c r="M57" s="240"/>
      <c r="N57" s="240"/>
      <c r="O57" s="240"/>
      <c r="P57" s="239" t="s">
        <v>15440</v>
      </c>
      <c r="Q57" s="241"/>
      <c r="R57" s="236" t="str">
        <f ca="1">IF(ISERROR($V57),"",OFFSET('Smelter Look-up'!$C$4,$V57-4,0)&amp;"")</f>
        <v>Kazakhmys Smelting LLC</v>
      </c>
      <c r="S57" s="250" t="str">
        <f t="shared" ca="1" si="0"/>
        <v>KZ</v>
      </c>
      <c r="T57" s="250" t="str">
        <f ca="1">IF(B57="","",IF(ISERROR(MATCH($J57,SorP!$B$1:$B$6230,0)),"",INDIRECT("'SorP'!$A$"&amp;MATCH($J57,SorP!$B$1:$B$6230,0))))</f>
        <v>CN-53</v>
      </c>
      <c r="U57" s="280"/>
      <c r="V57" s="281">
        <f>IF(C57="",NA(),MATCH($B57&amp;$C57,'Smelter Look-up'!$J:$J,0))</f>
        <v>110</v>
      </c>
      <c r="W57" s="282"/>
      <c r="X57" s="282">
        <f t="shared" si="1"/>
        <v>0</v>
      </c>
      <c r="Y57" s="282"/>
      <c r="Z57" s="282"/>
      <c r="AB57" s="284" t="str">
        <f t="shared" si="2"/>
        <v>GoldKazakhmys Smelting LLC</v>
      </c>
    </row>
    <row r="58" spans="1:28" s="283" customFormat="1" ht="25.15" customHeight="1">
      <c r="A58" s="235" t="s">
        <v>791</v>
      </c>
      <c r="B58" s="236" t="s">
        <v>1263</v>
      </c>
      <c r="C58" s="242" t="s">
        <v>1874</v>
      </c>
      <c r="D58" s="236"/>
      <c r="E58" s="236" t="s">
        <v>1242</v>
      </c>
      <c r="F58" s="236" t="s">
        <v>791</v>
      </c>
      <c r="G58" s="236" t="s">
        <v>14672</v>
      </c>
      <c r="H58" s="237"/>
      <c r="I58" s="238" t="s">
        <v>2678</v>
      </c>
      <c r="J58" s="347" t="s">
        <v>7990</v>
      </c>
      <c r="K58" s="345"/>
      <c r="L58" s="240"/>
      <c r="M58" s="240"/>
      <c r="N58" s="240"/>
      <c r="O58" s="240"/>
      <c r="P58" s="239" t="s">
        <v>15440</v>
      </c>
      <c r="Q58" s="241"/>
      <c r="R58" s="236" t="str">
        <f ca="1">IF(ISERROR($V58),"",OFFSET('Smelter Look-up'!$C$4,$V58-4,0)&amp;"")</f>
        <v>Kazzinc</v>
      </c>
      <c r="S58" s="250" t="str">
        <f t="shared" ca="1" si="0"/>
        <v>KZ</v>
      </c>
      <c r="T58" s="250" t="str">
        <f ca="1">IF(B58="","",IF(ISERROR(MATCH($J58,SorP!$B$1:$B$6230,0)),"",INDIRECT("'SorP'!$A$"&amp;MATCH($J58,SorP!$B$1:$B$6230,0))))</f>
        <v>KZ-KAR</v>
      </c>
      <c r="U58" s="280"/>
      <c r="V58" s="281">
        <f>IF(C58="",NA(),MATCH($B58&amp;$C58,'Smelter Look-up'!$J:$J,0))</f>
        <v>111</v>
      </c>
      <c r="W58" s="282"/>
      <c r="X58" s="282">
        <f t="shared" si="1"/>
        <v>0</v>
      </c>
      <c r="Y58" s="282"/>
      <c r="Z58" s="282"/>
      <c r="AB58" s="284" t="str">
        <f t="shared" si="2"/>
        <v>GoldKazzinc</v>
      </c>
    </row>
    <row r="59" spans="1:28" s="283" customFormat="1" ht="25.15" customHeight="1">
      <c r="A59" s="235" t="s">
        <v>793</v>
      </c>
      <c r="B59" s="236" t="s">
        <v>1263</v>
      </c>
      <c r="C59" s="242" t="s">
        <v>792</v>
      </c>
      <c r="D59" s="236"/>
      <c r="E59" s="236" t="s">
        <v>3153</v>
      </c>
      <c r="F59" s="236" t="s">
        <v>793</v>
      </c>
      <c r="G59" s="236" t="s">
        <v>14672</v>
      </c>
      <c r="H59" s="237"/>
      <c r="I59" s="238" t="s">
        <v>1875</v>
      </c>
      <c r="J59" s="347" t="s">
        <v>7990</v>
      </c>
      <c r="K59" s="345"/>
      <c r="L59" s="240"/>
      <c r="M59" s="240"/>
      <c r="N59" s="240"/>
      <c r="O59" s="240"/>
      <c r="P59" s="239" t="s">
        <v>15440</v>
      </c>
      <c r="Q59" s="241"/>
      <c r="R59" s="236" t="str">
        <f ca="1">IF(ISERROR($V59),"",OFFSET('Smelter Look-up'!$C$4,$V59-4,0)&amp;"")</f>
        <v>Kennecott Utah Copper LLC</v>
      </c>
      <c r="S59" s="250" t="str">
        <f t="shared" ref="S59:S122" ca="1" si="3">IF(B59="","",IF(ISERROR(MATCH($E59,CL,0)),"Unknown",INDIRECT("'C'!$A$"&amp;MATCH($E59,CL,0)+1)))</f>
        <v>US</v>
      </c>
      <c r="T59" s="250" t="str">
        <f ca="1">IF(B59="","",IF(ISERROR(MATCH($J59,SorP!$B$1:$B$6230,0)),"",INDIRECT("'SorP'!$A$"&amp;MATCH($J59,SorP!$B$1:$B$6230,0))))</f>
        <v>KZ-KAR</v>
      </c>
      <c r="U59" s="280"/>
      <c r="V59" s="281">
        <f>IF(C59="",NA(),MATCH($B59&amp;$C59,'Smelter Look-up'!$J:$J,0))</f>
        <v>112</v>
      </c>
      <c r="W59" s="282"/>
      <c r="X59" s="282">
        <f t="shared" ref="X59:X122" si="4">IF(AND(C59="Smelter not listed",OR(LEN(D59)=0,LEN(E59)=0)),1,0)</f>
        <v>0</v>
      </c>
      <c r="Y59" s="282"/>
      <c r="Z59" s="282"/>
      <c r="AB59" s="284" t="str">
        <f t="shared" ref="AB59:AB122" si="5">B59&amp;C59</f>
        <v>GoldKennecott Utah Copper LLC</v>
      </c>
    </row>
    <row r="60" spans="1:28" s="283" customFormat="1" ht="25.15" customHeight="1">
      <c r="A60" s="235" t="s">
        <v>1545</v>
      </c>
      <c r="B60" s="236" t="s">
        <v>1263</v>
      </c>
      <c r="C60" s="242" t="s">
        <v>14012</v>
      </c>
      <c r="D60" s="236"/>
      <c r="E60" s="236" t="s">
        <v>1010</v>
      </c>
      <c r="F60" s="236" t="s">
        <v>1545</v>
      </c>
      <c r="G60" s="236" t="s">
        <v>14672</v>
      </c>
      <c r="H60" s="237"/>
      <c r="I60" s="238" t="s">
        <v>1983</v>
      </c>
      <c r="J60" s="238" t="s">
        <v>10630</v>
      </c>
      <c r="K60" s="240"/>
      <c r="L60" s="240"/>
      <c r="M60" s="240"/>
      <c r="N60" s="240"/>
      <c r="O60" s="240"/>
      <c r="P60" s="239" t="s">
        <v>15440</v>
      </c>
      <c r="Q60" s="241"/>
      <c r="R60" s="236" t="str">
        <f ca="1">IF(ISERROR($V60),"",OFFSET('Smelter Look-up'!$C$4,$V60-4,0)&amp;"")</f>
        <v>KGHM Polska Miedz Spolka Akcyjna</v>
      </c>
      <c r="S60" s="250" t="str">
        <f t="shared" ca="1" si="3"/>
        <v>PL</v>
      </c>
      <c r="T60" s="250" t="str">
        <f ca="1">IF(B60="","",IF(ISERROR(MATCH($J60,SorP!$B$1:$B$6230,0)),"",INDIRECT("'SorP'!$A$"&amp;MATCH($J60,SorP!$B$1:$B$6230,0))))</f>
        <v>PL-DS</v>
      </c>
      <c r="U60" s="280"/>
      <c r="V60" s="281">
        <f>IF(C60="",NA(),MATCH($B60&amp;$C60,'Smelter Look-up'!$J:$J,0))</f>
        <v>114</v>
      </c>
      <c r="W60" s="282"/>
      <c r="X60" s="282">
        <f t="shared" si="4"/>
        <v>0</v>
      </c>
      <c r="Y60" s="282"/>
      <c r="Z60" s="282"/>
      <c r="AB60" s="284" t="str">
        <f t="shared" si="5"/>
        <v>GoldKGHM Polska Miedz Spolka Akcyjna</v>
      </c>
    </row>
    <row r="61" spans="1:28" s="283" customFormat="1" ht="25.15" customHeight="1">
      <c r="A61" s="235" t="s">
        <v>794</v>
      </c>
      <c r="B61" s="236" t="s">
        <v>1263</v>
      </c>
      <c r="C61" s="242" t="s">
        <v>2610</v>
      </c>
      <c r="D61" s="236"/>
      <c r="E61" s="236" t="s">
        <v>1241</v>
      </c>
      <c r="F61" s="236" t="s">
        <v>794</v>
      </c>
      <c r="G61" s="236" t="s">
        <v>14672</v>
      </c>
      <c r="H61" s="237"/>
      <c r="I61" s="238" t="s">
        <v>1876</v>
      </c>
      <c r="J61" s="238" t="s">
        <v>1869</v>
      </c>
      <c r="K61" s="240"/>
      <c r="L61" s="240"/>
      <c r="M61" s="240"/>
      <c r="N61" s="240"/>
      <c r="O61" s="240"/>
      <c r="P61" s="239" t="s">
        <v>15440</v>
      </c>
      <c r="Q61" s="241"/>
      <c r="R61" s="236" t="str">
        <f ca="1">IF(ISERROR($V61),"",OFFSET('Smelter Look-up'!$C$4,$V61-4,0)&amp;"")</f>
        <v>Kojima Chemicals Co., Ltd.</v>
      </c>
      <c r="S61" s="250" t="str">
        <f t="shared" ca="1" si="3"/>
        <v>JP</v>
      </c>
      <c r="T61" s="250" t="str">
        <f ca="1">IF(B61="","",IF(ISERROR(MATCH($J61,SorP!$B$1:$B$6230,0)),"",INDIRECT("'SorP'!$A$"&amp;MATCH($J61,SorP!$B$1:$B$6230,0))))</f>
        <v>US-UT</v>
      </c>
      <c r="U61" s="280"/>
      <c r="V61" s="281">
        <f>IF(C61="",NA(),MATCH($B61&amp;$C61,'Smelter Look-up'!$J:$J,0))</f>
        <v>116</v>
      </c>
      <c r="W61" s="282"/>
      <c r="X61" s="282">
        <f t="shared" si="4"/>
        <v>0</v>
      </c>
      <c r="Y61" s="282"/>
      <c r="Z61" s="282"/>
      <c r="AB61" s="284" t="str">
        <f t="shared" si="5"/>
        <v>GoldKojima Chemicals Co., Ltd.</v>
      </c>
    </row>
    <row r="62" spans="1:28" s="283" customFormat="1" ht="25.15" customHeight="1">
      <c r="A62" s="235" t="s">
        <v>2000</v>
      </c>
      <c r="B62" s="236" t="s">
        <v>1263</v>
      </c>
      <c r="C62" s="242" t="s">
        <v>2985</v>
      </c>
      <c r="D62" s="236"/>
      <c r="E62" s="236" t="s">
        <v>1244</v>
      </c>
      <c r="F62" s="236" t="s">
        <v>2000</v>
      </c>
      <c r="G62" s="236" t="s">
        <v>14672</v>
      </c>
      <c r="H62" s="237"/>
      <c r="I62" s="238" t="s">
        <v>2001</v>
      </c>
      <c r="J62" s="347" t="s">
        <v>14246</v>
      </c>
      <c r="K62" s="345"/>
      <c r="L62" s="240"/>
      <c r="M62" s="240"/>
      <c r="N62" s="240"/>
      <c r="O62" s="240"/>
      <c r="P62" s="239" t="s">
        <v>15440</v>
      </c>
      <c r="Q62" s="241"/>
      <c r="R62" s="236" t="str">
        <f ca="1">IF(ISERROR($V62),"",OFFSET('Smelter Look-up'!$C$4,$V62-4,0)&amp;"")</f>
        <v>Korea Zinc Co., Ltd.</v>
      </c>
      <c r="S62" s="250" t="str">
        <f t="shared" ca="1" si="3"/>
        <v>KR</v>
      </c>
      <c r="T62" s="250" t="str">
        <f ca="1">IF(B62="","",IF(ISERROR(MATCH($J62,SorP!$B$1:$B$6230,0)),"",INDIRECT("'SorP'!$A$"&amp;MATCH($J62,SorP!$B$1:$B$6230,0))))</f>
        <v>KR-11</v>
      </c>
      <c r="U62" s="280"/>
      <c r="V62" s="281">
        <f>IF(C62="",NA(),MATCH($B62&amp;$C62,'Smelter Look-up'!$J:$J,0))</f>
        <v>119</v>
      </c>
      <c r="W62" s="282"/>
      <c r="X62" s="282">
        <f t="shared" si="4"/>
        <v>0</v>
      </c>
      <c r="Y62" s="282"/>
      <c r="Z62" s="282"/>
      <c r="AB62" s="284" t="str">
        <f t="shared" si="5"/>
        <v>GoldKorea Zinc Co., Ltd.</v>
      </c>
    </row>
    <row r="63" spans="1:28" s="283" customFormat="1" ht="25.15" customHeight="1">
      <c r="A63" s="235" t="s">
        <v>795</v>
      </c>
      <c r="B63" s="236" t="s">
        <v>1263</v>
      </c>
      <c r="C63" s="242" t="s">
        <v>974</v>
      </c>
      <c r="D63" s="236"/>
      <c r="E63" s="236" t="s">
        <v>1243</v>
      </c>
      <c r="F63" s="236" t="s">
        <v>795</v>
      </c>
      <c r="G63" s="236" t="s">
        <v>14672</v>
      </c>
      <c r="H63" s="237"/>
      <c r="I63" s="238" t="s">
        <v>1877</v>
      </c>
      <c r="J63" s="238" t="s">
        <v>1844</v>
      </c>
      <c r="K63" s="240"/>
      <c r="L63" s="240"/>
      <c r="M63" s="240"/>
      <c r="N63" s="240"/>
      <c r="O63" s="240"/>
      <c r="P63" s="239" t="s">
        <v>15440</v>
      </c>
      <c r="Q63" s="241"/>
      <c r="R63" s="236" t="str">
        <f ca="1">IF(ISERROR($V63),"",OFFSET('Smelter Look-up'!$C$4,$V63-4,0)&amp;"")</f>
        <v>Kyrgyzaltyn JSC</v>
      </c>
      <c r="S63" s="250" t="str">
        <f t="shared" ca="1" si="3"/>
        <v>KG</v>
      </c>
      <c r="T63" s="250" t="str">
        <f ca="1">IF(B63="","",IF(ISERROR(MATCH($J63,SorP!$B$1:$B$6230,0)),"",INDIRECT("'SorP'!$A$"&amp;MATCH($J63,SorP!$B$1:$B$6230,0))))</f>
        <v>JP-11</v>
      </c>
      <c r="U63" s="280"/>
      <c r="V63" s="281">
        <f>IF(C63="",NA(),MATCH($B63&amp;$C63,'Smelter Look-up'!$J:$J,0))</f>
        <v>121</v>
      </c>
      <c r="W63" s="282"/>
      <c r="X63" s="282">
        <f t="shared" si="4"/>
        <v>0</v>
      </c>
      <c r="Y63" s="282"/>
      <c r="Z63" s="282"/>
      <c r="AB63" s="284" t="str">
        <f t="shared" si="5"/>
        <v>GoldKyrgyzaltyn JSC</v>
      </c>
    </row>
    <row r="64" spans="1:28" s="283" customFormat="1" ht="25.15" customHeight="1">
      <c r="A64" s="235" t="s">
        <v>3263</v>
      </c>
      <c r="B64" s="236" t="s">
        <v>1263</v>
      </c>
      <c r="C64" s="242" t="s">
        <v>3262</v>
      </c>
      <c r="D64" s="236"/>
      <c r="E64" s="236" t="s">
        <v>1011</v>
      </c>
      <c r="F64" s="236" t="s">
        <v>3263</v>
      </c>
      <c r="G64" s="236" t="s">
        <v>14672</v>
      </c>
      <c r="H64" s="237"/>
      <c r="I64" s="238" t="s">
        <v>13573</v>
      </c>
      <c r="J64" s="347" t="s">
        <v>11098</v>
      </c>
      <c r="K64" s="345"/>
      <c r="L64" s="240"/>
      <c r="M64" s="240"/>
      <c r="N64" s="240"/>
      <c r="O64" s="240"/>
      <c r="P64" s="239" t="s">
        <v>15440</v>
      </c>
      <c r="Q64" s="241"/>
      <c r="R64" s="236" t="str">
        <f ca="1">IF(ISERROR($V64),"",OFFSET('Smelter Look-up'!$C$4,$V64-4,0)&amp;"")</f>
        <v>Kyshtym Copper-Electrolytic Plant ZAO</v>
      </c>
      <c r="S64" s="250" t="str">
        <f t="shared" ca="1" si="3"/>
        <v>RU</v>
      </c>
      <c r="T64" s="250" t="str">
        <f ca="1">IF(B64="","",IF(ISERROR(MATCH($J64,SorP!$B$1:$B$6230,0)),"",INDIRECT("'SorP'!$A$"&amp;MATCH($J64,SorP!$B$1:$B$6230,0))))</f>
        <v>RU-CHE</v>
      </c>
      <c r="U64" s="280"/>
      <c r="V64" s="281">
        <f>IF(C64="",NA(),MATCH($B64&amp;$C64,'Smelter Look-up'!$J:$J,0))</f>
        <v>122</v>
      </c>
      <c r="W64" s="282"/>
      <c r="X64" s="282">
        <f t="shared" si="4"/>
        <v>0</v>
      </c>
      <c r="Y64" s="282"/>
      <c r="Z64" s="282"/>
      <c r="AB64" s="284" t="str">
        <f t="shared" si="5"/>
        <v>GoldKyshtym Copper-Electrolytic Plant ZAO</v>
      </c>
    </row>
    <row r="65" spans="1:28" s="283" customFormat="1" ht="25.15" customHeight="1">
      <c r="A65" s="235" t="s">
        <v>796</v>
      </c>
      <c r="B65" s="236" t="s">
        <v>1263</v>
      </c>
      <c r="C65" s="242" t="s">
        <v>2986</v>
      </c>
      <c r="D65" s="236"/>
      <c r="E65" s="236" t="s">
        <v>1012</v>
      </c>
      <c r="F65" s="236" t="s">
        <v>796</v>
      </c>
      <c r="G65" s="236" t="s">
        <v>14672</v>
      </c>
      <c r="H65" s="237"/>
      <c r="I65" s="238" t="s">
        <v>1879</v>
      </c>
      <c r="J65" s="238" t="s">
        <v>14229</v>
      </c>
      <c r="K65" s="240"/>
      <c r="L65" s="240"/>
      <c r="M65" s="240"/>
      <c r="N65" s="240"/>
      <c r="O65" s="240"/>
      <c r="P65" s="239" t="s">
        <v>15440</v>
      </c>
      <c r="Q65" s="241"/>
      <c r="R65" s="236" t="str">
        <f ca="1">IF(ISERROR($V65),"",OFFSET('Smelter Look-up'!$C$4,$V65-4,0)&amp;"")</f>
        <v>L'azurde Company For Jewelry</v>
      </c>
      <c r="S65" s="250" t="str">
        <f t="shared" ca="1" si="3"/>
        <v>SA</v>
      </c>
      <c r="T65" s="250" t="str">
        <f ca="1">IF(B65="","",IF(ISERROR(MATCH($J65,SorP!$B$1:$B$6230,0)),"",INDIRECT("'SorP'!$A$"&amp;MATCH($J65,SorP!$B$1:$B$6230,0))))</f>
        <v>KG-C</v>
      </c>
      <c r="U65" s="280"/>
      <c r="V65" s="281">
        <f>IF(C65="",NA(),MATCH($B65&amp;$C65,'Smelter Look-up'!$J:$J,0))</f>
        <v>125</v>
      </c>
      <c r="W65" s="282"/>
      <c r="X65" s="282">
        <f t="shared" si="4"/>
        <v>0</v>
      </c>
      <c r="Y65" s="282"/>
      <c r="Z65" s="282"/>
      <c r="AB65" s="284" t="str">
        <f t="shared" si="5"/>
        <v>GoldL'azurde Company For Jewelry</v>
      </c>
    </row>
    <row r="66" spans="1:28" s="283" customFormat="1" ht="25.15" customHeight="1">
      <c r="A66" s="235" t="s">
        <v>1546</v>
      </c>
      <c r="B66" s="236" t="s">
        <v>1263</v>
      </c>
      <c r="C66" s="242" t="s">
        <v>2987</v>
      </c>
      <c r="D66" s="236"/>
      <c r="E66" s="236" t="s">
        <v>1232</v>
      </c>
      <c r="F66" s="236" t="s">
        <v>1546</v>
      </c>
      <c r="G66" s="236" t="s">
        <v>14672</v>
      </c>
      <c r="H66" s="237"/>
      <c r="I66" s="238" t="s">
        <v>1880</v>
      </c>
      <c r="J66" s="238" t="s">
        <v>11235</v>
      </c>
      <c r="K66" s="240"/>
      <c r="L66" s="240"/>
      <c r="M66" s="240"/>
      <c r="N66" s="240"/>
      <c r="O66" s="240"/>
      <c r="P66" s="239" t="s">
        <v>15440</v>
      </c>
      <c r="Q66" s="241"/>
      <c r="R66" s="236" t="str">
        <f ca="1">IF(ISERROR($V66),"",OFFSET('Smelter Look-up'!$C$4,$V66-4,0)&amp;"")</f>
        <v>Lingbao Gold Co., Ltd.</v>
      </c>
      <c r="S66" s="250" t="str">
        <f t="shared" ca="1" si="3"/>
        <v>CN</v>
      </c>
      <c r="T66" s="250" t="str">
        <f ca="1">IF(B66="","",IF(ISERROR(MATCH($J66,SorP!$B$1:$B$6230,0)),"",INDIRECT("'SorP'!$A$"&amp;MATCH($J66,SorP!$B$1:$B$6230,0))))</f>
        <v>SA-01</v>
      </c>
      <c r="U66" s="280"/>
      <c r="V66" s="281">
        <f>IF(C66="",NA(),MATCH($B66&amp;$C66,'Smelter Look-up'!$J:$J,0))</f>
        <v>127</v>
      </c>
      <c r="W66" s="282"/>
      <c r="X66" s="282">
        <f t="shared" si="4"/>
        <v>0</v>
      </c>
      <c r="Y66" s="282"/>
      <c r="Z66" s="282"/>
      <c r="AB66" s="284" t="str">
        <f t="shared" si="5"/>
        <v>GoldLingbao Gold Co., Ltd.</v>
      </c>
    </row>
    <row r="67" spans="1:28" s="283" customFormat="1" ht="25.15" customHeight="1">
      <c r="A67" s="235" t="s">
        <v>797</v>
      </c>
      <c r="B67" s="236" t="s">
        <v>1263</v>
      </c>
      <c r="C67" s="242" t="s">
        <v>2611</v>
      </c>
      <c r="D67" s="236"/>
      <c r="E67" s="236" t="s">
        <v>1232</v>
      </c>
      <c r="F67" s="236" t="s">
        <v>797</v>
      </c>
      <c r="G67" s="236" t="s">
        <v>14672</v>
      </c>
      <c r="H67" s="237"/>
      <c r="I67" s="238" t="s">
        <v>1881</v>
      </c>
      <c r="J67" s="238" t="s">
        <v>1882</v>
      </c>
      <c r="K67" s="240"/>
      <c r="L67" s="240"/>
      <c r="M67" s="240"/>
      <c r="N67" s="240"/>
      <c r="O67" s="240"/>
      <c r="P67" s="239" t="s">
        <v>15440</v>
      </c>
      <c r="Q67" s="241"/>
      <c r="R67" s="236" t="str">
        <f ca="1">IF(ISERROR($V67),"",OFFSET('Smelter Look-up'!$C$4,$V67-4,0)&amp;"")</f>
        <v>Lingbao Jinyuan Tonghui Refinery Co., Ltd.</v>
      </c>
      <c r="S67" s="250" t="str">
        <f t="shared" ca="1" si="3"/>
        <v>CN</v>
      </c>
      <c r="T67" s="250" t="str">
        <f ca="1">IF(B67="","",IF(ISERROR(MATCH($J67,SorP!$B$1:$B$6230,0)),"",INDIRECT("'SorP'!$A$"&amp;MATCH($J67,SorP!$B$1:$B$6230,0))))</f>
        <v>CN-41</v>
      </c>
      <c r="U67" s="280"/>
      <c r="V67" s="281">
        <f>IF(C67="",NA(),MATCH($B67&amp;$C67,'Smelter Look-up'!$J:$J,0))</f>
        <v>128</v>
      </c>
      <c r="W67" s="282"/>
      <c r="X67" s="282">
        <f t="shared" si="4"/>
        <v>0</v>
      </c>
      <c r="Y67" s="282"/>
      <c r="Z67" s="282"/>
      <c r="AB67" s="284" t="str">
        <f t="shared" si="5"/>
        <v>GoldLingbao Jinyuan Tonghui Refinery Co., Ltd.</v>
      </c>
    </row>
    <row r="68" spans="1:28" s="283" customFormat="1" ht="25.15" customHeight="1">
      <c r="A68" s="235" t="s">
        <v>3161</v>
      </c>
      <c r="B68" s="236" t="s">
        <v>1263</v>
      </c>
      <c r="C68" s="242" t="s">
        <v>3160</v>
      </c>
      <c r="D68" s="236"/>
      <c r="E68" s="236" t="s">
        <v>1223</v>
      </c>
      <c r="F68" s="236" t="s">
        <v>3161</v>
      </c>
      <c r="G68" s="236" t="s">
        <v>14672</v>
      </c>
      <c r="H68" s="237"/>
      <c r="I68" s="238" t="s">
        <v>3178</v>
      </c>
      <c r="J68" s="347" t="s">
        <v>3178</v>
      </c>
      <c r="K68" s="345"/>
      <c r="L68" s="240"/>
      <c r="M68" s="240"/>
      <c r="N68" s="240"/>
      <c r="O68" s="240"/>
      <c r="P68" s="239" t="s">
        <v>15440</v>
      </c>
      <c r="Q68" s="241"/>
      <c r="R68" s="236" t="str">
        <f ca="1">IF(ISERROR($V68),"",OFFSET('Smelter Look-up'!$C$4,$V68-4,0)&amp;"")</f>
        <v>L'Orfebre S.A.</v>
      </c>
      <c r="S68" s="250" t="str">
        <f t="shared" ca="1" si="3"/>
        <v>AD</v>
      </c>
      <c r="T68" s="250" t="str">
        <f ca="1">IF(B68="","",IF(ISERROR(MATCH($J68,SorP!$B$1:$B$6230,0)),"",INDIRECT("'SorP'!$A$"&amp;MATCH($J68,SorP!$B$1:$B$6230,0))))</f>
        <v>AD-07</v>
      </c>
      <c r="U68" s="280"/>
      <c r="V68" s="281">
        <f>IF(C68="",NA(),MATCH($B68&amp;$C68,'Smelter Look-up'!$J:$J,0))</f>
        <v>129</v>
      </c>
      <c r="W68" s="282"/>
      <c r="X68" s="282">
        <f t="shared" si="4"/>
        <v>0</v>
      </c>
      <c r="Y68" s="282"/>
      <c r="Z68" s="282"/>
      <c r="AB68" s="284" t="str">
        <f t="shared" si="5"/>
        <v>GoldL'Orfebre S.A.</v>
      </c>
    </row>
    <row r="69" spans="1:28" s="283" customFormat="1" ht="25.15" customHeight="1">
      <c r="A69" s="235" t="s">
        <v>798</v>
      </c>
      <c r="B69" s="236" t="s">
        <v>1263</v>
      </c>
      <c r="C69" s="242" t="s">
        <v>63</v>
      </c>
      <c r="D69" s="236"/>
      <c r="E69" s="236" t="s">
        <v>1244</v>
      </c>
      <c r="F69" s="236" t="s">
        <v>798</v>
      </c>
      <c r="G69" s="236" t="s">
        <v>14672</v>
      </c>
      <c r="H69" s="237"/>
      <c r="I69" s="238" t="s">
        <v>2076</v>
      </c>
      <c r="J69" s="238" t="s">
        <v>2056</v>
      </c>
      <c r="K69" s="240"/>
      <c r="L69" s="240"/>
      <c r="M69" s="240"/>
      <c r="N69" s="240"/>
      <c r="O69" s="240"/>
      <c r="P69" s="239" t="s">
        <v>15440</v>
      </c>
      <c r="Q69" s="241"/>
      <c r="R69" s="236" t="str">
        <f ca="1">IF(ISERROR($V69),"",OFFSET('Smelter Look-up'!$C$4,$V69-4,0)&amp;"")</f>
        <v>LS-NIKKO Copper Inc.</v>
      </c>
      <c r="S69" s="250" t="str">
        <f t="shared" ca="1" si="3"/>
        <v>KR</v>
      </c>
      <c r="T69" s="250" t="str">
        <f ca="1">IF(B69="","",IF(ISERROR(MATCH($J69,SorP!$B$1:$B$6230,0)),"",INDIRECT("'SorP'!$A$"&amp;MATCH($J69,SorP!$B$1:$B$6230,0))))</f>
        <v>CN-45</v>
      </c>
      <c r="U69" s="280"/>
      <c r="V69" s="281">
        <f>IF(C69="",NA(),MATCH($B69&amp;$C69,'Smelter Look-up'!$J:$J,0))</f>
        <v>130</v>
      </c>
      <c r="W69" s="282"/>
      <c r="X69" s="282">
        <f t="shared" si="4"/>
        <v>0</v>
      </c>
      <c r="Y69" s="282"/>
      <c r="Z69" s="282"/>
      <c r="AB69" s="284" t="str">
        <f t="shared" si="5"/>
        <v>GoldLS-NIKKO Copper Inc.</v>
      </c>
    </row>
    <row r="70" spans="1:28" s="283" customFormat="1" ht="25.15" customHeight="1">
      <c r="A70" s="235" t="s">
        <v>800</v>
      </c>
      <c r="B70" s="236" t="s">
        <v>1263</v>
      </c>
      <c r="C70" s="242" t="s">
        <v>1884</v>
      </c>
      <c r="D70" s="236"/>
      <c r="E70" s="236" t="s">
        <v>1232</v>
      </c>
      <c r="F70" s="236" t="s">
        <v>800</v>
      </c>
      <c r="G70" s="236" t="s">
        <v>14672</v>
      </c>
      <c r="H70" s="237"/>
      <c r="I70" s="238" t="s">
        <v>1883</v>
      </c>
      <c r="J70" s="347" t="s">
        <v>14236</v>
      </c>
      <c r="K70" s="345"/>
      <c r="L70" s="240"/>
      <c r="M70" s="240"/>
      <c r="N70" s="240"/>
      <c r="O70" s="240"/>
      <c r="P70" s="239" t="s">
        <v>15440</v>
      </c>
      <c r="Q70" s="241"/>
      <c r="R70" s="236" t="str">
        <f ca="1">IF(ISERROR($V70),"",OFFSET('Smelter Look-up'!$C$4,$V70-4,0)&amp;"")</f>
        <v>Luoyang Zijin Yinhui Gold Refinery Co., Ltd.</v>
      </c>
      <c r="S70" s="250" t="str">
        <f t="shared" ca="1" si="3"/>
        <v>CN</v>
      </c>
      <c r="T70" s="250" t="str">
        <f ca="1">IF(B70="","",IF(ISERROR(MATCH($J70,SorP!$B$1:$B$6230,0)),"",INDIRECT("'SorP'!$A$"&amp;MATCH($J70,SorP!$B$1:$B$6230,0))))</f>
        <v>KR-31</v>
      </c>
      <c r="U70" s="280"/>
      <c r="V70" s="281">
        <f>IF(C70="",NA(),MATCH($B70&amp;$C70,'Smelter Look-up'!$J:$J,0))</f>
        <v>131</v>
      </c>
      <c r="W70" s="282"/>
      <c r="X70" s="282">
        <f t="shared" si="4"/>
        <v>0</v>
      </c>
      <c r="Y70" s="282"/>
      <c r="Z70" s="282"/>
      <c r="AB70" s="284" t="str">
        <f t="shared" si="5"/>
        <v>GoldLuoyang Zijin Yinhui Gold Refinery Co., Ltd.</v>
      </c>
    </row>
    <row r="71" spans="1:28" s="283" customFormat="1" ht="25.15" customHeight="1">
      <c r="A71" s="235" t="s">
        <v>3265</v>
      </c>
      <c r="B71" s="236" t="s">
        <v>1263</v>
      </c>
      <c r="C71" s="242" t="s">
        <v>3264</v>
      </c>
      <c r="D71" s="236"/>
      <c r="E71" s="236" t="s">
        <v>1228</v>
      </c>
      <c r="F71" s="236" t="s">
        <v>3265</v>
      </c>
      <c r="G71" s="236" t="s">
        <v>14672</v>
      </c>
      <c r="H71" s="237"/>
      <c r="I71" s="238" t="s">
        <v>3266</v>
      </c>
      <c r="J71" s="238" t="s">
        <v>1954</v>
      </c>
      <c r="K71" s="240"/>
      <c r="L71" s="240"/>
      <c r="M71" s="240"/>
      <c r="N71" s="240"/>
      <c r="O71" s="240"/>
      <c r="P71" s="239" t="s">
        <v>15440</v>
      </c>
      <c r="Q71" s="241"/>
      <c r="R71" s="236" t="str">
        <f ca="1">IF(ISERROR($V71),"",OFFSET('Smelter Look-up'!$C$4,$V71-4,0)&amp;"")</f>
        <v>Marsam Metals</v>
      </c>
      <c r="S71" s="250" t="str">
        <f t="shared" ca="1" si="3"/>
        <v>BR</v>
      </c>
      <c r="T71" s="250" t="str">
        <f ca="1">IF(B71="","",IF(ISERROR(MATCH($J71,SorP!$B$1:$B$6230,0)),"",INDIRECT("'SorP'!$A$"&amp;MATCH($J71,SorP!$B$1:$B$6230,0))))</f>
        <v>BR-SP</v>
      </c>
      <c r="U71" s="280"/>
      <c r="V71" s="281">
        <f>IF(C71="",NA(),MATCH($B71&amp;$C71,'Smelter Look-up'!$J:$J,0))</f>
        <v>134</v>
      </c>
      <c r="W71" s="282"/>
      <c r="X71" s="282">
        <f t="shared" si="4"/>
        <v>0</v>
      </c>
      <c r="Y71" s="282"/>
      <c r="Z71" s="282"/>
      <c r="AB71" s="284" t="str">
        <f t="shared" si="5"/>
        <v>GoldMarsam Metals</v>
      </c>
    </row>
    <row r="72" spans="1:28" s="283" customFormat="1" ht="25.15" customHeight="1">
      <c r="A72" s="235" t="s">
        <v>801</v>
      </c>
      <c r="B72" s="236" t="s">
        <v>1263</v>
      </c>
      <c r="C72" s="242" t="s">
        <v>1038</v>
      </c>
      <c r="D72" s="236"/>
      <c r="E72" s="236" t="s">
        <v>3153</v>
      </c>
      <c r="F72" s="236" t="s">
        <v>801</v>
      </c>
      <c r="G72" s="236" t="s">
        <v>14672</v>
      </c>
      <c r="H72" s="237"/>
      <c r="I72" s="238" t="s">
        <v>2081</v>
      </c>
      <c r="J72" s="238" t="s">
        <v>9780</v>
      </c>
      <c r="K72" s="240"/>
      <c r="L72" s="240"/>
      <c r="M72" s="240"/>
      <c r="N72" s="240"/>
      <c r="O72" s="240"/>
      <c r="P72" s="239" t="s">
        <v>15440</v>
      </c>
      <c r="Q72" s="241"/>
      <c r="R72" s="236" t="str">
        <f ca="1">IF(ISERROR($V72),"",OFFSET('Smelter Look-up'!$C$4,$V72-4,0)&amp;"")</f>
        <v>Materion</v>
      </c>
      <c r="S72" s="250" t="str">
        <f t="shared" ca="1" si="3"/>
        <v>US</v>
      </c>
      <c r="T72" s="250" t="str">
        <f ca="1">IF(B72="","",IF(ISERROR(MATCH($J72,SorP!$B$1:$B$6230,0)),"",INDIRECT("'SorP'!$A$"&amp;MATCH($J72,SorP!$B$1:$B$6230,0))))</f>
        <v>MY-07</v>
      </c>
      <c r="U72" s="280"/>
      <c r="V72" s="281">
        <f>IF(C72="",NA(),MATCH($B72&amp;$C72,'Smelter Look-up'!$J:$J,0))</f>
        <v>135</v>
      </c>
      <c r="W72" s="282"/>
      <c r="X72" s="282">
        <f t="shared" si="4"/>
        <v>0</v>
      </c>
      <c r="Y72" s="282"/>
      <c r="Z72" s="282"/>
      <c r="AB72" s="284" t="str">
        <f t="shared" si="5"/>
        <v>GoldMaterion</v>
      </c>
    </row>
    <row r="73" spans="1:28" s="283" customFormat="1" ht="25.15" customHeight="1">
      <c r="A73" s="235" t="s">
        <v>802</v>
      </c>
      <c r="B73" s="236" t="s">
        <v>1263</v>
      </c>
      <c r="C73" s="242" t="s">
        <v>64</v>
      </c>
      <c r="D73" s="236"/>
      <c r="E73" s="236" t="s">
        <v>1241</v>
      </c>
      <c r="F73" s="236" t="s">
        <v>802</v>
      </c>
      <c r="G73" s="236" t="s">
        <v>14672</v>
      </c>
      <c r="H73" s="237"/>
      <c r="I73" s="238" t="s">
        <v>1886</v>
      </c>
      <c r="J73" s="238" t="s">
        <v>1887</v>
      </c>
      <c r="K73" s="240"/>
      <c r="L73" s="240"/>
      <c r="M73" s="240"/>
      <c r="N73" s="240"/>
      <c r="O73" s="240"/>
      <c r="P73" s="239" t="s">
        <v>15440</v>
      </c>
      <c r="Q73" s="241"/>
      <c r="R73" s="236" t="str">
        <f ca="1">IF(ISERROR($V73),"",OFFSET('Smelter Look-up'!$C$4,$V73-4,0)&amp;"")</f>
        <v>Matsuda Sangyo Co., Ltd.</v>
      </c>
      <c r="S73" s="250" t="str">
        <f t="shared" ca="1" si="3"/>
        <v>JP</v>
      </c>
      <c r="T73" s="250" t="str">
        <f ca="1">IF(B73="","",IF(ISERROR(MATCH($J73,SorP!$B$1:$B$6230,0)),"",INDIRECT("'SorP'!$A$"&amp;MATCH($J73,SorP!$B$1:$B$6230,0))))</f>
        <v>US-NY</v>
      </c>
      <c r="U73" s="280"/>
      <c r="V73" s="281">
        <f>IF(C73="",NA(),MATCH($B73&amp;$C73,'Smelter Look-up'!$J:$J,0))</f>
        <v>136</v>
      </c>
      <c r="W73" s="282"/>
      <c r="X73" s="282">
        <f t="shared" si="4"/>
        <v>0</v>
      </c>
      <c r="Y73" s="282"/>
      <c r="Z73" s="282"/>
      <c r="AB73" s="284" t="str">
        <f t="shared" si="5"/>
        <v>GoldMatsuda Sangyo Co., Ltd.</v>
      </c>
    </row>
    <row r="74" spans="1:28" s="283" customFormat="1" ht="25.15" customHeight="1">
      <c r="A74" s="235" t="s">
        <v>803</v>
      </c>
      <c r="B74" s="236" t="s">
        <v>1263</v>
      </c>
      <c r="C74" s="242" t="s">
        <v>2613</v>
      </c>
      <c r="D74" s="236"/>
      <c r="E74" s="236" t="s">
        <v>1232</v>
      </c>
      <c r="F74" s="236" t="s">
        <v>803</v>
      </c>
      <c r="G74" s="236" t="s">
        <v>14672</v>
      </c>
      <c r="H74" s="237"/>
      <c r="I74" s="238" t="s">
        <v>3268</v>
      </c>
      <c r="J74" s="238" t="s">
        <v>1891</v>
      </c>
      <c r="K74" s="240"/>
      <c r="L74" s="240"/>
      <c r="M74" s="240"/>
      <c r="N74" s="240"/>
      <c r="O74" s="240"/>
      <c r="P74" s="239" t="s">
        <v>15440</v>
      </c>
      <c r="Q74" s="241"/>
      <c r="R74" s="236" t="str">
        <f ca="1">IF(ISERROR($V74),"",OFFSET('Smelter Look-up'!$C$4,$V74-4,0)&amp;"")</f>
        <v>Metalor Technologies (Hong Kong) Ltd.</v>
      </c>
      <c r="S74" s="250" t="str">
        <f t="shared" ca="1" si="3"/>
        <v>CN</v>
      </c>
      <c r="T74" s="250" t="str">
        <f ca="1">IF(B74="","",IF(ISERROR(MATCH($J74,SorP!$B$1:$B$6230,0)),"",INDIRECT("'SorP'!$A$"&amp;MATCH($J74,SorP!$B$1:$B$6230,0))))</f>
        <v>CN-32</v>
      </c>
      <c r="U74" s="280"/>
      <c r="V74" s="281">
        <f>IF(C74="",NA(),MATCH($B74&amp;$C74,'Smelter Look-up'!$J:$J,0))</f>
        <v>141</v>
      </c>
      <c r="W74" s="282"/>
      <c r="X74" s="282">
        <f t="shared" si="4"/>
        <v>0</v>
      </c>
      <c r="Y74" s="282"/>
      <c r="Z74" s="282"/>
      <c r="AB74" s="284" t="str">
        <f t="shared" si="5"/>
        <v>GoldMetalor Technologies (Hong Kong) Ltd.</v>
      </c>
    </row>
    <row r="75" spans="1:28" s="283" customFormat="1" ht="25.15" customHeight="1">
      <c r="A75" s="235" t="s">
        <v>804</v>
      </c>
      <c r="B75" s="236" t="s">
        <v>1263</v>
      </c>
      <c r="C75" s="242" t="s">
        <v>2614</v>
      </c>
      <c r="D75" s="236"/>
      <c r="E75" s="236" t="s">
        <v>1014</v>
      </c>
      <c r="F75" s="236" t="s">
        <v>804</v>
      </c>
      <c r="G75" s="236" t="s">
        <v>14672</v>
      </c>
      <c r="H75" s="237"/>
      <c r="I75" s="238" t="s">
        <v>1892</v>
      </c>
      <c r="J75" s="238" t="s">
        <v>1856</v>
      </c>
      <c r="K75" s="240"/>
      <c r="L75" s="240"/>
      <c r="M75" s="240"/>
      <c r="N75" s="240"/>
      <c r="O75" s="240"/>
      <c r="P75" s="239" t="s">
        <v>15440</v>
      </c>
      <c r="Q75" s="241"/>
      <c r="R75" s="236" t="str">
        <f ca="1">IF(ISERROR($V75),"",OFFSET('Smelter Look-up'!$C$4,$V75-4,0)&amp;"")</f>
        <v>Metalor Technologies (Singapore) Pte., Ltd.</v>
      </c>
      <c r="S75" s="250" t="str">
        <f t="shared" ca="1" si="3"/>
        <v>SG</v>
      </c>
      <c r="T75" s="250" t="str">
        <f ca="1">IF(B75="","",IF(ISERROR(MATCH($J75,SorP!$B$1:$B$6230,0)),"",INDIRECT("'SorP'!$A$"&amp;MATCH($J75,SorP!$B$1:$B$6230,0))))</f>
        <v>CN-91</v>
      </c>
      <c r="U75" s="280"/>
      <c r="V75" s="281">
        <f>IF(C75="",NA(),MATCH($B75&amp;$C75,'Smelter Look-up'!$J:$J,0))</f>
        <v>142</v>
      </c>
      <c r="W75" s="282"/>
      <c r="X75" s="282">
        <f t="shared" si="4"/>
        <v>0</v>
      </c>
      <c r="Y75" s="282"/>
      <c r="Z75" s="282"/>
      <c r="AB75" s="284" t="str">
        <f t="shared" si="5"/>
        <v>GoldMetalor Technologies (Singapore) Pte., Ltd.</v>
      </c>
    </row>
    <row r="76" spans="1:28" s="283" customFormat="1" ht="25.15" customHeight="1">
      <c r="A76" s="235" t="s">
        <v>1890</v>
      </c>
      <c r="B76" s="236" t="s">
        <v>1263</v>
      </c>
      <c r="C76" s="242" t="s">
        <v>1889</v>
      </c>
      <c r="D76" s="236"/>
      <c r="E76" s="236" t="s">
        <v>1232</v>
      </c>
      <c r="F76" s="236" t="s">
        <v>1890</v>
      </c>
      <c r="G76" s="236" t="s">
        <v>14672</v>
      </c>
      <c r="H76" s="237"/>
      <c r="I76" s="238"/>
      <c r="J76" s="238"/>
      <c r="K76" s="240"/>
      <c r="L76" s="240"/>
      <c r="M76" s="240"/>
      <c r="N76" s="240"/>
      <c r="O76" s="240"/>
      <c r="P76" s="239" t="s">
        <v>15440</v>
      </c>
      <c r="Q76" s="241"/>
      <c r="R76" s="236" t="str">
        <f ca="1">IF(ISERROR($V76),"",OFFSET('Smelter Look-up'!$C$4,$V76-4,0)&amp;"")</f>
        <v>Metalor Technologies (Suzhou) Ltd.</v>
      </c>
      <c r="S76" s="250" t="str">
        <f t="shared" ca="1" si="3"/>
        <v>CN</v>
      </c>
      <c r="T76" s="250" t="str">
        <f ca="1">IF(B76="","",IF(ISERROR(MATCH($J76,SorP!$B$1:$B$6230,0)),"",INDIRECT("'SorP'!$A$"&amp;MATCH($J76,SorP!$B$1:$B$6230,0))))</f>
        <v/>
      </c>
      <c r="U76" s="280"/>
      <c r="V76" s="281">
        <f>IF(C76="",NA(),MATCH($B76&amp;$C76,'Smelter Look-up'!$J:$J,0))</f>
        <v>143</v>
      </c>
      <c r="W76" s="282"/>
      <c r="X76" s="282">
        <f t="shared" si="4"/>
        <v>0</v>
      </c>
      <c r="Y76" s="282"/>
      <c r="Z76" s="282"/>
      <c r="AB76" s="284" t="str">
        <f t="shared" si="5"/>
        <v>GoldMetalor Technologies (Suzhou) Ltd.</v>
      </c>
    </row>
    <row r="77" spans="1:28" s="283" customFormat="1" ht="25.15" customHeight="1">
      <c r="A77" s="235" t="s">
        <v>805</v>
      </c>
      <c r="B77" s="236" t="s">
        <v>1263</v>
      </c>
      <c r="C77" s="242" t="s">
        <v>2988</v>
      </c>
      <c r="D77" s="236"/>
      <c r="E77" s="236" t="s">
        <v>1230</v>
      </c>
      <c r="F77" s="236" t="s">
        <v>805</v>
      </c>
      <c r="G77" s="236" t="s">
        <v>14672</v>
      </c>
      <c r="H77" s="237"/>
      <c r="I77" s="238" t="s">
        <v>14067</v>
      </c>
      <c r="J77" s="238" t="s">
        <v>11443</v>
      </c>
      <c r="K77" s="240"/>
      <c r="L77" s="240"/>
      <c r="M77" s="240"/>
      <c r="N77" s="240"/>
      <c r="O77" s="240"/>
      <c r="P77" s="239" t="s">
        <v>15440</v>
      </c>
      <c r="Q77" s="241"/>
      <c r="R77" s="236" t="str">
        <f ca="1">IF(ISERROR($V77),"",OFFSET('Smelter Look-up'!$C$4,$V77-4,0)&amp;"")</f>
        <v>Metalor Technologies S.A.</v>
      </c>
      <c r="S77" s="250" t="str">
        <f t="shared" ca="1" si="3"/>
        <v>CH</v>
      </c>
      <c r="T77" s="250" t="str">
        <f ca="1">IF(B77="","",IF(ISERROR(MATCH($J77,SorP!$B$1:$B$6230,0)),"",INDIRECT("'SorP'!$A$"&amp;MATCH($J77,SorP!$B$1:$B$6230,0))))</f>
        <v>SG-05</v>
      </c>
      <c r="U77" s="280"/>
      <c r="V77" s="281">
        <f>IF(C77="",NA(),MATCH($B77&amp;$C77,'Smelter Look-up'!$J:$J,0))</f>
        <v>144</v>
      </c>
      <c r="W77" s="282"/>
      <c r="X77" s="282">
        <f t="shared" si="4"/>
        <v>0</v>
      </c>
      <c r="Y77" s="282"/>
      <c r="Z77" s="282"/>
      <c r="AB77" s="284" t="str">
        <f t="shared" si="5"/>
        <v>GoldMetalor Technologies S.A.</v>
      </c>
    </row>
    <row r="78" spans="1:28" s="283" customFormat="1" ht="25.15" customHeight="1">
      <c r="A78" s="235" t="s">
        <v>806</v>
      </c>
      <c r="B78" s="236" t="s">
        <v>1263</v>
      </c>
      <c r="C78" s="242" t="s">
        <v>1370</v>
      </c>
      <c r="D78" s="236"/>
      <c r="E78" s="236" t="s">
        <v>3153</v>
      </c>
      <c r="F78" s="236" t="s">
        <v>806</v>
      </c>
      <c r="G78" s="236" t="s">
        <v>14672</v>
      </c>
      <c r="H78" s="237"/>
      <c r="I78" s="238" t="s">
        <v>1895</v>
      </c>
      <c r="J78" s="347" t="s">
        <v>1896</v>
      </c>
      <c r="K78" s="345"/>
      <c r="L78" s="240"/>
      <c r="M78" s="240"/>
      <c r="N78" s="240"/>
      <c r="O78" s="240"/>
      <c r="P78" s="239" t="s">
        <v>15440</v>
      </c>
      <c r="Q78" s="241"/>
      <c r="R78" s="236" t="str">
        <f ca="1">IF(ISERROR($V78),"",OFFSET('Smelter Look-up'!$C$4,$V78-4,0)&amp;"")</f>
        <v>Metalor USA Refining Corporation</v>
      </c>
      <c r="S78" s="250" t="str">
        <f t="shared" ca="1" si="3"/>
        <v>US</v>
      </c>
      <c r="T78" s="250" t="str">
        <f ca="1">IF(B78="","",IF(ISERROR(MATCH($J78,SorP!$B$1:$B$6230,0)),"",INDIRECT("'SorP'!$A$"&amp;MATCH($J78,SorP!$B$1:$B$6230,0))))</f>
        <v>US-MA</v>
      </c>
      <c r="U78" s="280"/>
      <c r="V78" s="281">
        <f>IF(C78="",NA(),MATCH($B78&amp;$C78,'Smelter Look-up'!$J:$J,0))</f>
        <v>145</v>
      </c>
      <c r="W78" s="282"/>
      <c r="X78" s="282">
        <f t="shared" si="4"/>
        <v>0</v>
      </c>
      <c r="Y78" s="282"/>
      <c r="Z78" s="282"/>
      <c r="AB78" s="284" t="str">
        <f t="shared" si="5"/>
        <v>GoldMetalor USA Refining Corporation</v>
      </c>
    </row>
    <row r="79" spans="1:28" s="283" customFormat="1" ht="25.15" customHeight="1">
      <c r="A79" s="235" t="s">
        <v>807</v>
      </c>
      <c r="B79" s="236" t="s">
        <v>1263</v>
      </c>
      <c r="C79" s="242" t="s">
        <v>13596</v>
      </c>
      <c r="D79" s="236"/>
      <c r="E79" s="236" t="s">
        <v>1246</v>
      </c>
      <c r="F79" s="236" t="s">
        <v>807</v>
      </c>
      <c r="G79" s="236" t="s">
        <v>14672</v>
      </c>
      <c r="H79" s="237"/>
      <c r="I79" s="238" t="s">
        <v>1897</v>
      </c>
      <c r="J79" s="347" t="s">
        <v>14255</v>
      </c>
      <c r="K79" s="345"/>
      <c r="L79" s="240"/>
      <c r="M79" s="240"/>
      <c r="N79" s="240"/>
      <c r="O79" s="240"/>
      <c r="P79" s="239" t="s">
        <v>15440</v>
      </c>
      <c r="Q79" s="241"/>
      <c r="R79" s="236" t="str">
        <f ca="1">IF(ISERROR($V79),"",OFFSET('Smelter Look-up'!$C$4,$V79-4,0)&amp;"")</f>
        <v>Metalurgica Met-Mex Penoles S.A. De C.V.</v>
      </c>
      <c r="S79" s="250" t="str">
        <f t="shared" ca="1" si="3"/>
        <v>MX</v>
      </c>
      <c r="T79" s="250" t="str">
        <f ca="1">IF(B79="","",IF(ISERROR(MATCH($J79,SorP!$B$1:$B$6230,0)),"",INDIRECT("'SorP'!$A$"&amp;MATCH($J79,SorP!$B$1:$B$6230,0))))</f>
        <v>MX-COA</v>
      </c>
      <c r="U79" s="280"/>
      <c r="V79" s="281">
        <f>IF(C79="",NA(),MATCH($B79&amp;$C79,'Smelter Look-up'!$J:$J,0))</f>
        <v>146</v>
      </c>
      <c r="W79" s="282"/>
      <c r="X79" s="282">
        <f t="shared" si="4"/>
        <v>0</v>
      </c>
      <c r="Y79" s="282"/>
      <c r="Z79" s="282"/>
      <c r="AB79" s="284" t="str">
        <f t="shared" si="5"/>
        <v>GoldMetalurgica Met-Mex Penoles S.A. De C.V.</v>
      </c>
    </row>
    <row r="80" spans="1:28" s="283" customFormat="1" ht="25.15" customHeight="1">
      <c r="A80" s="235" t="s">
        <v>808</v>
      </c>
      <c r="B80" s="236" t="s">
        <v>1263</v>
      </c>
      <c r="C80" s="242" t="s">
        <v>1299</v>
      </c>
      <c r="D80" s="236"/>
      <c r="E80" s="236" t="s">
        <v>1241</v>
      </c>
      <c r="F80" s="236" t="s">
        <v>808</v>
      </c>
      <c r="G80" s="236" t="s">
        <v>14672</v>
      </c>
      <c r="H80" s="237"/>
      <c r="I80" s="238" t="s">
        <v>1898</v>
      </c>
      <c r="J80" s="238" t="s">
        <v>2701</v>
      </c>
      <c r="K80" s="240"/>
      <c r="L80" s="240"/>
      <c r="M80" s="240"/>
      <c r="N80" s="240"/>
      <c r="O80" s="240"/>
      <c r="P80" s="239" t="s">
        <v>15440</v>
      </c>
      <c r="Q80" s="241"/>
      <c r="R80" s="236" t="str">
        <f ca="1">IF(ISERROR($V80),"",OFFSET('Smelter Look-up'!$C$4,$V80-4,0)&amp;"")</f>
        <v>Mitsubishi Materials Corporation</v>
      </c>
      <c r="S80" s="250" t="str">
        <f t="shared" ca="1" si="3"/>
        <v>JP</v>
      </c>
      <c r="T80" s="250" t="str">
        <f ca="1">IF(B80="","",IF(ISERROR(MATCH($J80,SorP!$B$1:$B$6230,0)),"",INDIRECT("'SorP'!$A$"&amp;MATCH($J80,SorP!$B$1:$B$6230,0))))</f>
        <v>JP-37</v>
      </c>
      <c r="U80" s="280"/>
      <c r="V80" s="281">
        <f>IF(C80="",NA(),MATCH($B80&amp;$C80,'Smelter Look-up'!$J:$J,0))</f>
        <v>150</v>
      </c>
      <c r="W80" s="282"/>
      <c r="X80" s="282">
        <f t="shared" si="4"/>
        <v>0</v>
      </c>
      <c r="Y80" s="282"/>
      <c r="Z80" s="282"/>
      <c r="AB80" s="284" t="str">
        <f t="shared" si="5"/>
        <v>GoldMitsubishi Materials Corporation</v>
      </c>
    </row>
    <row r="81" spans="1:28" s="283" customFormat="1" ht="25.15" customHeight="1">
      <c r="A81" s="235" t="s">
        <v>809</v>
      </c>
      <c r="B81" s="236" t="s">
        <v>1263</v>
      </c>
      <c r="C81" s="242" t="s">
        <v>1371</v>
      </c>
      <c r="D81" s="236"/>
      <c r="E81" s="236" t="s">
        <v>1241</v>
      </c>
      <c r="F81" s="236" t="s">
        <v>809</v>
      </c>
      <c r="G81" s="236" t="s">
        <v>14672</v>
      </c>
      <c r="H81" s="237"/>
      <c r="I81" s="238" t="s">
        <v>1900</v>
      </c>
      <c r="J81" s="238" t="s">
        <v>1899</v>
      </c>
      <c r="K81" s="240"/>
      <c r="L81" s="240"/>
      <c r="M81" s="240"/>
      <c r="N81" s="240"/>
      <c r="O81" s="240"/>
      <c r="P81" s="239" t="s">
        <v>15440</v>
      </c>
      <c r="Q81" s="241"/>
      <c r="R81" s="236" t="str">
        <f ca="1">IF(ISERROR($V81),"",OFFSET('Smelter Look-up'!$C$4,$V81-4,0)&amp;"")</f>
        <v>Mitsui Mining and Smelting Co., Ltd.</v>
      </c>
      <c r="S81" s="250" t="str">
        <f t="shared" ca="1" si="3"/>
        <v>JP</v>
      </c>
      <c r="T81" s="250" t="str">
        <f ca="1">IF(B81="","",IF(ISERROR(MATCH($J81,SorP!$B$1:$B$6230,0)),"",INDIRECT("'SorP'!$A$"&amp;MATCH($J81,SorP!$B$1:$B$6230,0))))</f>
        <v>JP-34</v>
      </c>
      <c r="U81" s="280"/>
      <c r="V81" s="281">
        <f>IF(C81="",NA(),MATCH($B81&amp;$C81,'Smelter Look-up'!$J:$J,0))</f>
        <v>152</v>
      </c>
      <c r="W81" s="282"/>
      <c r="X81" s="282">
        <f t="shared" si="4"/>
        <v>0</v>
      </c>
      <c r="Y81" s="282"/>
      <c r="Z81" s="282"/>
      <c r="AB81" s="284" t="str">
        <f t="shared" si="5"/>
        <v>GoldMitsui Mining and Smelting Co., Ltd.</v>
      </c>
    </row>
    <row r="82" spans="1:28" s="283" customFormat="1" ht="25.15" customHeight="1">
      <c r="A82" s="235" t="s">
        <v>1547</v>
      </c>
      <c r="B82" s="236" t="s">
        <v>1263</v>
      </c>
      <c r="C82" s="242" t="s">
        <v>2638</v>
      </c>
      <c r="D82" s="236"/>
      <c r="E82" s="236" t="s">
        <v>1239</v>
      </c>
      <c r="F82" s="236" t="s">
        <v>1547</v>
      </c>
      <c r="G82" s="236" t="s">
        <v>14672</v>
      </c>
      <c r="H82" s="237"/>
      <c r="I82" s="238" t="s">
        <v>1979</v>
      </c>
      <c r="J82" s="238" t="s">
        <v>1980</v>
      </c>
      <c r="K82" s="240"/>
      <c r="L82" s="240"/>
      <c r="M82" s="240"/>
      <c r="N82" s="240"/>
      <c r="O82" s="240"/>
      <c r="P82" s="239" t="s">
        <v>15440</v>
      </c>
      <c r="Q82" s="241"/>
      <c r="R82" s="236" t="str">
        <f ca="1">IF(ISERROR($V82),"",OFFSET('Smelter Look-up'!$C$4,$V82-4,0)&amp;"")</f>
        <v>MMTC-PAMP India Pvt., Ltd.</v>
      </c>
      <c r="S82" s="250" t="str">
        <f t="shared" ca="1" si="3"/>
        <v>IN</v>
      </c>
      <c r="T82" s="250" t="str">
        <f ca="1">IF(B82="","",IF(ISERROR(MATCH($J82,SorP!$B$1:$B$6230,0)),"",INDIRECT("'SorP'!$A$"&amp;MATCH($J82,SorP!$B$1:$B$6230,0))))</f>
        <v>IN-HR</v>
      </c>
      <c r="U82" s="280"/>
      <c r="V82" s="281">
        <f>IF(C82="",NA(),MATCH($B82&amp;$C82,'Smelter Look-up'!$J:$J,0))</f>
        <v>153</v>
      </c>
      <c r="W82" s="282"/>
      <c r="X82" s="282">
        <f t="shared" si="4"/>
        <v>0</v>
      </c>
      <c r="Y82" s="282"/>
      <c r="Z82" s="282"/>
      <c r="AB82" s="284" t="str">
        <f t="shared" si="5"/>
        <v>GoldMMTC-PAMP India Pvt., Ltd.</v>
      </c>
    </row>
    <row r="83" spans="1:28" s="283" customFormat="1" ht="25.15" customHeight="1">
      <c r="A83" s="235" t="s">
        <v>2698</v>
      </c>
      <c r="B83" s="236" t="s">
        <v>1263</v>
      </c>
      <c r="C83" s="242" t="s">
        <v>2697</v>
      </c>
      <c r="D83" s="236"/>
      <c r="E83" s="236" t="s">
        <v>1250</v>
      </c>
      <c r="F83" s="236" t="s">
        <v>2698</v>
      </c>
      <c r="G83" s="236" t="s">
        <v>14672</v>
      </c>
      <c r="H83" s="237"/>
      <c r="I83" s="238" t="s">
        <v>2995</v>
      </c>
      <c r="J83" s="238" t="s">
        <v>2699</v>
      </c>
      <c r="K83" s="240"/>
      <c r="L83" s="240"/>
      <c r="M83" s="240"/>
      <c r="N83" s="240"/>
      <c r="O83" s="240"/>
      <c r="P83" s="239" t="s">
        <v>15440</v>
      </c>
      <c r="Q83" s="241"/>
      <c r="R83" s="236" t="str">
        <f ca="1">IF(ISERROR($V83),"",OFFSET('Smelter Look-up'!$C$4,$V83-4,0)&amp;"")</f>
        <v>Morris and Watson</v>
      </c>
      <c r="S83" s="250" t="str">
        <f t="shared" ca="1" si="3"/>
        <v>NZ</v>
      </c>
      <c r="T83" s="250" t="str">
        <f ca="1">IF(B83="","",IF(ISERROR(MATCH($J83,SorP!$B$1:$B$6230,0)),"",INDIRECT("'SorP'!$A$"&amp;MATCH($J83,SorP!$B$1:$B$6230,0))))</f>
        <v>NZ-AUK</v>
      </c>
      <c r="U83" s="280"/>
      <c r="V83" s="281">
        <f>IF(C83="",NA(),MATCH($B83&amp;$C83,'Smelter Look-up'!$J:$J,0))</f>
        <v>155</v>
      </c>
      <c r="W83" s="282"/>
      <c r="X83" s="282">
        <f t="shared" si="4"/>
        <v>0</v>
      </c>
      <c r="Y83" s="282"/>
      <c r="Z83" s="282"/>
      <c r="AB83" s="284" t="str">
        <f t="shared" si="5"/>
        <v>GoldMorris and Watson</v>
      </c>
    </row>
    <row r="84" spans="1:28" s="283" customFormat="1" ht="25.15" customHeight="1">
      <c r="A84" s="235" t="s">
        <v>3163</v>
      </c>
      <c r="B84" s="236" t="s">
        <v>1263</v>
      </c>
      <c r="C84" s="242" t="s">
        <v>3162</v>
      </c>
      <c r="D84" s="236"/>
      <c r="E84" s="236" t="s">
        <v>1225</v>
      </c>
      <c r="F84" s="236" t="s">
        <v>3163</v>
      </c>
      <c r="G84" s="236" t="s">
        <v>14672</v>
      </c>
      <c r="H84" s="237"/>
      <c r="I84" s="238" t="s">
        <v>3179</v>
      </c>
      <c r="J84" s="238" t="s">
        <v>3180</v>
      </c>
      <c r="K84" s="240"/>
      <c r="L84" s="240"/>
      <c r="M84" s="240"/>
      <c r="N84" s="240"/>
      <c r="O84" s="240"/>
      <c r="P84" s="239" t="s">
        <v>15440</v>
      </c>
      <c r="Q84" s="241"/>
      <c r="R84" s="236" t="str">
        <f ca="1">IF(ISERROR($V84),"",OFFSET('Smelter Look-up'!$C$4,$V84-4,0)&amp;"")</f>
        <v>Morris and Watson Gold Coast</v>
      </c>
      <c r="S84" s="250" t="str">
        <f t="shared" ca="1" si="3"/>
        <v>AU</v>
      </c>
      <c r="T84" s="250" t="str">
        <f ca="1">IF(B84="","",IF(ISERROR(MATCH($J84,SorP!$B$1:$B$6230,0)),"",INDIRECT("'SorP'!$A$"&amp;MATCH($J84,SorP!$B$1:$B$6230,0))))</f>
        <v>AU-QLD</v>
      </c>
      <c r="U84" s="280"/>
      <c r="V84" s="281">
        <f>IF(C84="",NA(),MATCH($B84&amp;$C84,'Smelter Look-up'!$J:$J,0))</f>
        <v>156</v>
      </c>
      <c r="W84" s="282"/>
      <c r="X84" s="282">
        <f t="shared" si="4"/>
        <v>0</v>
      </c>
      <c r="Y84" s="282"/>
      <c r="Z84" s="282"/>
      <c r="AB84" s="284" t="str">
        <f t="shared" si="5"/>
        <v>GoldMorris and Watson Gold Coast</v>
      </c>
    </row>
    <row r="85" spans="1:28" s="283" customFormat="1" ht="25.15" customHeight="1">
      <c r="A85" s="235" t="s">
        <v>810</v>
      </c>
      <c r="B85" s="236" t="s">
        <v>1263</v>
      </c>
      <c r="C85" s="242" t="s">
        <v>1039</v>
      </c>
      <c r="D85" s="236"/>
      <c r="E85" s="236" t="s">
        <v>1011</v>
      </c>
      <c r="F85" s="236" t="s">
        <v>810</v>
      </c>
      <c r="G85" s="236" t="s">
        <v>14672</v>
      </c>
      <c r="H85" s="237"/>
      <c r="I85" s="238" t="s">
        <v>1902</v>
      </c>
      <c r="J85" s="238" t="s">
        <v>11040</v>
      </c>
      <c r="K85" s="240"/>
      <c r="L85" s="240"/>
      <c r="M85" s="240"/>
      <c r="N85" s="240"/>
      <c r="O85" s="240"/>
      <c r="P85" s="239" t="s">
        <v>15440</v>
      </c>
      <c r="Q85" s="241"/>
      <c r="R85" s="236" t="str">
        <f ca="1">IF(ISERROR($V85),"",OFFSET('Smelter Look-up'!$C$4,$V85-4,0)&amp;"")</f>
        <v>Moscow Special Alloys Processing Plant</v>
      </c>
      <c r="S85" s="250" t="str">
        <f t="shared" ca="1" si="3"/>
        <v>RU</v>
      </c>
      <c r="T85" s="250" t="str">
        <f ca="1">IF(B85="","",IF(ISERROR(MATCH($J85,SorP!$B$1:$B$6230,0)),"",INDIRECT("'SorP'!$A$"&amp;MATCH($J85,SorP!$B$1:$B$6230,0))))</f>
        <v>RU-MOW</v>
      </c>
      <c r="U85" s="280"/>
      <c r="V85" s="281">
        <f>IF(C85="",NA(),MATCH($B85&amp;$C85,'Smelter Look-up'!$J:$J,0))</f>
        <v>157</v>
      </c>
      <c r="W85" s="282"/>
      <c r="X85" s="282">
        <f t="shared" si="4"/>
        <v>0</v>
      </c>
      <c r="Y85" s="282"/>
      <c r="Z85" s="282"/>
      <c r="AB85" s="284" t="str">
        <f t="shared" si="5"/>
        <v>GoldMoscow Special Alloys Processing Plant</v>
      </c>
    </row>
    <row r="86" spans="1:28" s="283" customFormat="1" ht="25.15" customHeight="1">
      <c r="A86" s="235" t="s">
        <v>811</v>
      </c>
      <c r="B86" s="236" t="s">
        <v>1263</v>
      </c>
      <c r="C86" s="242" t="s">
        <v>13598</v>
      </c>
      <c r="D86" s="236"/>
      <c r="E86" s="236" t="s">
        <v>1017</v>
      </c>
      <c r="F86" s="236" t="s">
        <v>811</v>
      </c>
      <c r="G86" s="236" t="s">
        <v>14672</v>
      </c>
      <c r="H86" s="237"/>
      <c r="I86" s="238" t="s">
        <v>1903</v>
      </c>
      <c r="J86" s="238" t="s">
        <v>12419</v>
      </c>
      <c r="K86" s="240"/>
      <c r="L86" s="240"/>
      <c r="M86" s="240"/>
      <c r="N86" s="240"/>
      <c r="O86" s="240"/>
      <c r="P86" s="239" t="s">
        <v>15440</v>
      </c>
      <c r="Q86" s="241"/>
      <c r="R86" s="236" t="str">
        <f ca="1">IF(ISERROR($V86),"",OFFSET('Smelter Look-up'!$C$4,$V86-4,0)&amp;"")</f>
        <v>Nadir Metal Rafineri San. Ve Tic. A.S.</v>
      </c>
      <c r="S86" s="250" t="str">
        <f t="shared" ca="1" si="3"/>
        <v>TR</v>
      </c>
      <c r="T86" s="250" t="str">
        <f ca="1">IF(B86="","",IF(ISERROR(MATCH($J86,SorP!$B$1:$B$6230,0)),"",INDIRECT("'SorP'!$A$"&amp;MATCH($J86,SorP!$B$1:$B$6230,0))))</f>
        <v>TR-34</v>
      </c>
      <c r="U86" s="280"/>
      <c r="V86" s="281">
        <f>IF(C86="",NA(),MATCH($B86&amp;$C86,'Smelter Look-up'!$J:$J,0))</f>
        <v>158</v>
      </c>
      <c r="W86" s="282"/>
      <c r="X86" s="282">
        <f t="shared" si="4"/>
        <v>0</v>
      </c>
      <c r="Y86" s="282"/>
      <c r="Z86" s="282"/>
      <c r="AB86" s="284" t="str">
        <f t="shared" si="5"/>
        <v>GoldNadir Metal Rafineri San. Ve Tic. A.S.</v>
      </c>
    </row>
    <row r="87" spans="1:28" s="283" customFormat="1" ht="25.15" customHeight="1">
      <c r="A87" s="235" t="s">
        <v>812</v>
      </c>
      <c r="B87" s="236" t="s">
        <v>1263</v>
      </c>
      <c r="C87" s="242" t="s">
        <v>1372</v>
      </c>
      <c r="D87" s="236"/>
      <c r="E87" s="236" t="s">
        <v>1019</v>
      </c>
      <c r="F87" s="236" t="s">
        <v>812</v>
      </c>
      <c r="G87" s="236" t="s">
        <v>14672</v>
      </c>
      <c r="H87" s="237"/>
      <c r="I87" s="238" t="s">
        <v>1904</v>
      </c>
      <c r="J87" s="238" t="s">
        <v>13170</v>
      </c>
      <c r="K87" s="240"/>
      <c r="L87" s="240"/>
      <c r="M87" s="240"/>
      <c r="N87" s="240"/>
      <c r="O87" s="240"/>
      <c r="P87" s="239" t="s">
        <v>15440</v>
      </c>
      <c r="Q87" s="241"/>
      <c r="R87" s="236" t="str">
        <f ca="1">IF(ISERROR($V87),"",OFFSET('Smelter Look-up'!$C$4,$V87-4,0)&amp;"")</f>
        <v>Navoi Mining and Metallurgical Combinat</v>
      </c>
      <c r="S87" s="250" t="str">
        <f t="shared" ca="1" si="3"/>
        <v>UZ</v>
      </c>
      <c r="T87" s="250" t="str">
        <f ca="1">IF(B87="","",IF(ISERROR(MATCH($J87,SorP!$B$1:$B$6230,0)),"",INDIRECT("'SorP'!$A$"&amp;MATCH($J87,SorP!$B$1:$B$6230,0))))</f>
        <v>UZ-NW</v>
      </c>
      <c r="U87" s="280"/>
      <c r="V87" s="281">
        <f>IF(C87="",NA(),MATCH($B87&amp;$C87,'Smelter Look-up'!$J:$J,0))</f>
        <v>160</v>
      </c>
      <c r="W87" s="282"/>
      <c r="X87" s="282">
        <f t="shared" si="4"/>
        <v>0</v>
      </c>
      <c r="Y87" s="282"/>
      <c r="Z87" s="282"/>
      <c r="AB87" s="284" t="str">
        <f t="shared" si="5"/>
        <v>GoldNavoi Mining and Metallurgical Combinat</v>
      </c>
    </row>
    <row r="88" spans="1:28" s="283" customFormat="1" ht="25.15" customHeight="1">
      <c r="A88" s="235" t="s">
        <v>813</v>
      </c>
      <c r="B88" s="236" t="s">
        <v>1263</v>
      </c>
      <c r="C88" s="242" t="s">
        <v>2617</v>
      </c>
      <c r="D88" s="236"/>
      <c r="E88" s="236" t="s">
        <v>1241</v>
      </c>
      <c r="F88" s="236" t="s">
        <v>813</v>
      </c>
      <c r="G88" s="236" t="s">
        <v>14672</v>
      </c>
      <c r="H88" s="237"/>
      <c r="I88" s="238" t="s">
        <v>1905</v>
      </c>
      <c r="J88" s="238" t="s">
        <v>1906</v>
      </c>
      <c r="K88" s="240"/>
      <c r="L88" s="240"/>
      <c r="M88" s="240"/>
      <c r="N88" s="240"/>
      <c r="O88" s="240"/>
      <c r="P88" s="239" t="s">
        <v>15440</v>
      </c>
      <c r="Q88" s="241"/>
      <c r="R88" s="236" t="str">
        <f ca="1">IF(ISERROR($V88),"",OFFSET('Smelter Look-up'!$C$4,$V88-4,0)&amp;"")</f>
        <v>Nihon Material Co., Ltd.</v>
      </c>
      <c r="S88" s="250" t="str">
        <f t="shared" ca="1" si="3"/>
        <v>JP</v>
      </c>
      <c r="T88" s="250" t="str">
        <f ca="1">IF(B88="","",IF(ISERROR(MATCH($J88,SorP!$B$1:$B$6230,0)),"",INDIRECT("'SorP'!$A$"&amp;MATCH($J88,SorP!$B$1:$B$6230,0))))</f>
        <v>JP-12</v>
      </c>
      <c r="U88" s="280"/>
      <c r="V88" s="281">
        <f>IF(C88="",NA(),MATCH($B88&amp;$C88,'Smelter Look-up'!$J:$J,0))</f>
        <v>162</v>
      </c>
      <c r="W88" s="282"/>
      <c r="X88" s="282">
        <f t="shared" si="4"/>
        <v>0</v>
      </c>
      <c r="Y88" s="282"/>
      <c r="Z88" s="282"/>
      <c r="AB88" s="284" t="str">
        <f t="shared" si="5"/>
        <v>GoldNihon Material Co., Ltd.</v>
      </c>
    </row>
    <row r="89" spans="1:28" s="283" customFormat="1" ht="25.15" customHeight="1">
      <c r="A89" s="235" t="s">
        <v>2693</v>
      </c>
      <c r="B89" s="236" t="s">
        <v>1263</v>
      </c>
      <c r="C89" s="242" t="s">
        <v>13602</v>
      </c>
      <c r="D89" s="236"/>
      <c r="E89" s="236" t="s">
        <v>1226</v>
      </c>
      <c r="F89" s="236" t="s">
        <v>2693</v>
      </c>
      <c r="G89" s="236" t="s">
        <v>14672</v>
      </c>
      <c r="H89" s="237"/>
      <c r="I89" s="238" t="s">
        <v>2694</v>
      </c>
      <c r="J89" s="238" t="s">
        <v>3570</v>
      </c>
      <c r="K89" s="240"/>
      <c r="L89" s="240"/>
      <c r="M89" s="240"/>
      <c r="N89" s="240"/>
      <c r="O89" s="240"/>
      <c r="P89" s="239" t="s">
        <v>15440</v>
      </c>
      <c r="Q89" s="241"/>
      <c r="R89" s="236" t="str">
        <f ca="1">IF(ISERROR($V89),"",OFFSET('Smelter Look-up'!$C$4,$V89-4,0)&amp;"")</f>
        <v>Ogussa Osterreichische Gold- und Silber-Scheideanstalt GmbH</v>
      </c>
      <c r="S89" s="250" t="str">
        <f t="shared" ca="1" si="3"/>
        <v>AT</v>
      </c>
      <c r="T89" s="250" t="str">
        <f ca="1">IF(B89="","",IF(ISERROR(MATCH($J89,SorP!$B$1:$B$6230,0)),"",INDIRECT("'SorP'!$A$"&amp;MATCH($J89,SorP!$B$1:$B$6230,0))))</f>
        <v>AT-9</v>
      </c>
      <c r="U89" s="280"/>
      <c r="V89" s="281">
        <f>IF(C89="",NA(),MATCH($B89&amp;$C89,'Smelter Look-up'!$J:$J,0))</f>
        <v>165</v>
      </c>
      <c r="W89" s="282"/>
      <c r="X89" s="282">
        <f t="shared" si="4"/>
        <v>0</v>
      </c>
      <c r="Y89" s="282"/>
      <c r="Z89" s="282"/>
      <c r="AB89" s="284" t="str">
        <f t="shared" si="5"/>
        <v>GoldOgussa Osterreichische Gold- und Silber-Scheideanstalt GmbH</v>
      </c>
    </row>
    <row r="90" spans="1:28" s="283" customFormat="1" ht="25.15" customHeight="1">
      <c r="A90" s="235" t="s">
        <v>815</v>
      </c>
      <c r="B90" s="236" t="s">
        <v>1263</v>
      </c>
      <c r="C90" s="242" t="s">
        <v>2618</v>
      </c>
      <c r="D90" s="236"/>
      <c r="E90" s="236" t="s">
        <v>1241</v>
      </c>
      <c r="F90" s="236" t="s">
        <v>815</v>
      </c>
      <c r="G90" s="236" t="s">
        <v>14672</v>
      </c>
      <c r="H90" s="237"/>
      <c r="I90" s="238" t="s">
        <v>1909</v>
      </c>
      <c r="J90" s="238" t="s">
        <v>1910</v>
      </c>
      <c r="K90" s="240"/>
      <c r="L90" s="240"/>
      <c r="M90" s="240"/>
      <c r="N90" s="240"/>
      <c r="O90" s="240"/>
      <c r="P90" s="239" t="s">
        <v>15440</v>
      </c>
      <c r="Q90" s="241"/>
      <c r="R90" s="236" t="str">
        <f ca="1">IF(ISERROR($V90),"",OFFSET('Smelter Look-up'!$C$4,$V90-4,0)&amp;"")</f>
        <v>Ohura Precious Metal Industry Co., Ltd.</v>
      </c>
      <c r="S90" s="250" t="str">
        <f t="shared" ca="1" si="3"/>
        <v>JP</v>
      </c>
      <c r="T90" s="250" t="str">
        <f ca="1">IF(B90="","",IF(ISERROR(MATCH($J90,SorP!$B$1:$B$6230,0)),"",INDIRECT("'SorP'!$A$"&amp;MATCH($J90,SorP!$B$1:$B$6230,0))))</f>
        <v>JP-29</v>
      </c>
      <c r="U90" s="280"/>
      <c r="V90" s="281">
        <f>IF(C90="",NA(),MATCH($B90&amp;$C90,'Smelter Look-up'!$J:$J,0))</f>
        <v>168</v>
      </c>
      <c r="W90" s="282"/>
      <c r="X90" s="282">
        <f t="shared" si="4"/>
        <v>0</v>
      </c>
      <c r="Y90" s="282"/>
      <c r="Z90" s="282"/>
      <c r="AB90" s="284" t="str">
        <f t="shared" si="5"/>
        <v>GoldOhura Precious Metal Industry Co., Ltd.</v>
      </c>
    </row>
    <row r="91" spans="1:28" s="283" customFormat="1" ht="25.15" customHeight="1">
      <c r="A91" s="235" t="s">
        <v>816</v>
      </c>
      <c r="B91" s="236" t="s">
        <v>1263</v>
      </c>
      <c r="C91" s="348" t="s">
        <v>2756</v>
      </c>
      <c r="D91" s="346"/>
      <c r="E91" s="236" t="s">
        <v>1011</v>
      </c>
      <c r="F91" s="236" t="s">
        <v>816</v>
      </c>
      <c r="G91" s="236" t="s">
        <v>14672</v>
      </c>
      <c r="H91" s="237"/>
      <c r="I91" s="238" t="s">
        <v>1911</v>
      </c>
      <c r="J91" s="347" t="s">
        <v>11183</v>
      </c>
      <c r="K91" s="345"/>
      <c r="L91" s="240"/>
      <c r="M91" s="240"/>
      <c r="N91" s="240"/>
      <c r="O91" s="240"/>
      <c r="P91" s="239" t="s">
        <v>15440</v>
      </c>
      <c r="Q91" s="241"/>
      <c r="R91" s="236" t="str">
        <f ca="1">IF(ISERROR($V91),"",OFFSET('Smelter Look-up'!$C$4,$V91-4,0)&amp;"")</f>
        <v>OJSC "The Gulidov Krasnoyarsk Non-Ferrous Metals Plant" (OJSC Krastsvetmet)</v>
      </c>
      <c r="S91" s="250" t="str">
        <f t="shared" ca="1" si="3"/>
        <v>RU</v>
      </c>
      <c r="T91" s="250" t="str">
        <f ca="1">IF(B91="","",IF(ISERROR(MATCH($J91,SorP!$B$1:$B$6230,0)),"",INDIRECT("'SorP'!$A$"&amp;MATCH($J91,SorP!$B$1:$B$6230,0))))</f>
        <v>RU-KYA</v>
      </c>
      <c r="U91" s="280"/>
      <c r="V91" s="281">
        <f>IF(C91="",NA(),MATCH($B91&amp;$C91,'Smelter Look-up'!$J:$J,0))</f>
        <v>169</v>
      </c>
      <c r="W91" s="282"/>
      <c r="X91" s="282">
        <f t="shared" si="4"/>
        <v>0</v>
      </c>
      <c r="Y91" s="282"/>
      <c r="Z91" s="282"/>
      <c r="AB91" s="284" t="str">
        <f t="shared" si="5"/>
        <v>GoldOJSC "The Gulidov Krasnoyarsk Non-Ferrous Metals Plant" (OJSC Krastsvetmet)</v>
      </c>
    </row>
    <row r="92" spans="1:28" s="283" customFormat="1" ht="25.15" customHeight="1">
      <c r="A92" s="235" t="s">
        <v>772</v>
      </c>
      <c r="B92" s="236" t="s">
        <v>1263</v>
      </c>
      <c r="C92" s="242" t="s">
        <v>2684</v>
      </c>
      <c r="D92" s="236"/>
      <c r="E92" s="236" t="s">
        <v>1011</v>
      </c>
      <c r="F92" s="236" t="s">
        <v>772</v>
      </c>
      <c r="G92" s="236" t="s">
        <v>14672</v>
      </c>
      <c r="H92" s="237"/>
      <c r="I92" s="238" t="s">
        <v>2072</v>
      </c>
      <c r="J92" s="347" t="s">
        <v>10644</v>
      </c>
      <c r="K92" s="345"/>
      <c r="L92" s="240"/>
      <c r="M92" s="240"/>
      <c r="N92" s="240"/>
      <c r="O92" s="240"/>
      <c r="P92" s="239" t="s">
        <v>15440</v>
      </c>
      <c r="Q92" s="241"/>
      <c r="R92" s="236" t="str">
        <f ca="1">IF(ISERROR($V92),"",OFFSET('Smelter Look-up'!$C$4,$V92-4,0)&amp;"")</f>
        <v>OJSC Novosibirsk Refinery</v>
      </c>
      <c r="S92" s="250" t="str">
        <f t="shared" ca="1" si="3"/>
        <v>RU</v>
      </c>
      <c r="T92" s="250" t="str">
        <f ca="1">IF(B92="","",IF(ISERROR(MATCH($J92,SorP!$B$1:$B$6230,0)),"",INDIRECT("'SorP'!$A$"&amp;MATCH($J92,SorP!$B$1:$B$6230,0))))</f>
        <v>PL-PK</v>
      </c>
      <c r="U92" s="280"/>
      <c r="V92" s="281">
        <f>IF(C92="",NA(),MATCH($B92&amp;$C92,'Smelter Look-up'!$J:$J,0))</f>
        <v>171</v>
      </c>
      <c r="W92" s="282"/>
      <c r="X92" s="282">
        <f t="shared" si="4"/>
        <v>0</v>
      </c>
      <c r="Y92" s="282"/>
      <c r="Z92" s="282"/>
      <c r="AB92" s="284" t="str">
        <f t="shared" si="5"/>
        <v>GoldOJSC Novosibirsk Refinery</v>
      </c>
    </row>
    <row r="93" spans="1:28" s="283" customFormat="1" ht="25.15" customHeight="1">
      <c r="A93" s="235" t="s">
        <v>817</v>
      </c>
      <c r="B93" s="236" t="s">
        <v>1263</v>
      </c>
      <c r="C93" s="242" t="s">
        <v>2996</v>
      </c>
      <c r="D93" s="236"/>
      <c r="E93" s="236" t="s">
        <v>1230</v>
      </c>
      <c r="F93" s="236" t="s">
        <v>817</v>
      </c>
      <c r="G93" s="236" t="s">
        <v>14672</v>
      </c>
      <c r="H93" s="237"/>
      <c r="I93" s="238" t="s">
        <v>1913</v>
      </c>
      <c r="J93" s="238" t="s">
        <v>1811</v>
      </c>
      <c r="K93" s="240"/>
      <c r="L93" s="240"/>
      <c r="M93" s="240"/>
      <c r="N93" s="240"/>
      <c r="O93" s="240"/>
      <c r="P93" s="239" t="s">
        <v>15440</v>
      </c>
      <c r="Q93" s="241"/>
      <c r="R93" s="236" t="str">
        <f ca="1">IF(ISERROR($V93),"",OFFSET('Smelter Look-up'!$C$4,$V93-4,0)&amp;"")</f>
        <v>PAMP S.A.</v>
      </c>
      <c r="S93" s="250" t="str">
        <f t="shared" ca="1" si="3"/>
        <v>CH</v>
      </c>
      <c r="T93" s="250" t="str">
        <f ca="1">IF(B93="","",IF(ISERROR(MATCH($J93,SorP!$B$1:$B$6230,0)),"",INDIRECT("'SorP'!$A$"&amp;MATCH($J93,SorP!$B$1:$B$6230,0))))</f>
        <v>CH-TI</v>
      </c>
      <c r="U93" s="280"/>
      <c r="V93" s="281">
        <f>IF(C93="",NA(),MATCH($B93&amp;$C93,'Smelter Look-up'!$J:$J,0))</f>
        <v>173</v>
      </c>
      <c r="W93" s="282"/>
      <c r="X93" s="282">
        <f t="shared" si="4"/>
        <v>0</v>
      </c>
      <c r="Y93" s="282"/>
      <c r="Z93" s="282"/>
      <c r="AB93" s="284" t="str">
        <f t="shared" si="5"/>
        <v>GoldPAMP S.A.</v>
      </c>
    </row>
    <row r="94" spans="1:28" s="283" customFormat="1" ht="25.15" customHeight="1">
      <c r="A94" s="235" t="s">
        <v>3165</v>
      </c>
      <c r="B94" s="236" t="s">
        <v>1263</v>
      </c>
      <c r="C94" s="242" t="s">
        <v>3164</v>
      </c>
      <c r="D94" s="236"/>
      <c r="E94" s="236" t="s">
        <v>3153</v>
      </c>
      <c r="F94" s="236" t="s">
        <v>3165</v>
      </c>
      <c r="G94" s="236" t="s">
        <v>14672</v>
      </c>
      <c r="H94" s="237"/>
      <c r="I94" s="238" t="s">
        <v>1800</v>
      </c>
      <c r="J94" s="238" t="s">
        <v>1801</v>
      </c>
      <c r="K94" s="240"/>
      <c r="L94" s="240"/>
      <c r="M94" s="240"/>
      <c r="N94" s="240"/>
      <c r="O94" s="240"/>
      <c r="P94" s="239" t="s">
        <v>15440</v>
      </c>
      <c r="Q94" s="241"/>
      <c r="R94" s="236" t="str">
        <f ca="1">IF(ISERROR($V94),"",OFFSET('Smelter Look-up'!$C$4,$V94-4,0)&amp;"")</f>
        <v>Pease &amp; Curren</v>
      </c>
      <c r="S94" s="250" t="str">
        <f t="shared" ca="1" si="3"/>
        <v>US</v>
      </c>
      <c r="T94" s="250" t="str">
        <f ca="1">IF(B94="","",IF(ISERROR(MATCH($J94,SorP!$B$1:$B$6230,0)),"",INDIRECT("'SorP'!$A$"&amp;MATCH($J94,SorP!$B$1:$B$6230,0))))</f>
        <v>US-RI</v>
      </c>
      <c r="U94" s="280"/>
      <c r="V94" s="281">
        <f>IF(C94="",NA(),MATCH($B94&amp;$C94,'Smelter Look-up'!$J:$J,0))</f>
        <v>175</v>
      </c>
      <c r="W94" s="282"/>
      <c r="X94" s="282">
        <f t="shared" si="4"/>
        <v>0</v>
      </c>
      <c r="Y94" s="282"/>
      <c r="Z94" s="282"/>
      <c r="AB94" s="284" t="str">
        <f t="shared" si="5"/>
        <v>GoldPease &amp; Curren</v>
      </c>
    </row>
    <row r="95" spans="1:28" s="283" customFormat="1" ht="25.15" customHeight="1">
      <c r="A95" s="235" t="s">
        <v>818</v>
      </c>
      <c r="B95" s="236" t="s">
        <v>1263</v>
      </c>
      <c r="C95" s="242" t="s">
        <v>2619</v>
      </c>
      <c r="D95" s="236"/>
      <c r="E95" s="236" t="s">
        <v>1232</v>
      </c>
      <c r="F95" s="236" t="s">
        <v>818</v>
      </c>
      <c r="G95" s="236" t="s">
        <v>14672</v>
      </c>
      <c r="H95" s="237"/>
      <c r="I95" s="238" t="s">
        <v>3217</v>
      </c>
      <c r="J95" s="238" t="s">
        <v>1914</v>
      </c>
      <c r="K95" s="240"/>
      <c r="L95" s="240"/>
      <c r="M95" s="240"/>
      <c r="N95" s="240"/>
      <c r="O95" s="240"/>
      <c r="P95" s="239" t="s">
        <v>15440</v>
      </c>
      <c r="Q95" s="241"/>
      <c r="R95" s="236" t="str">
        <f ca="1">IF(ISERROR($V95),"",OFFSET('Smelter Look-up'!$C$4,$V95-4,0)&amp;"")</f>
        <v>Penglai Penggang Gold Industry Co., Ltd.</v>
      </c>
      <c r="S95" s="250" t="str">
        <f t="shared" ca="1" si="3"/>
        <v>CN</v>
      </c>
      <c r="T95" s="250" t="str">
        <f ca="1">IF(B95="","",IF(ISERROR(MATCH($J95,SorP!$B$1:$B$6230,0)),"",INDIRECT("'SorP'!$A$"&amp;MATCH($J95,SorP!$B$1:$B$6230,0))))</f>
        <v>CN-37</v>
      </c>
      <c r="U95" s="280"/>
      <c r="V95" s="281">
        <f>IF(C95="",NA(),MATCH($B95&amp;$C95,'Smelter Look-up'!$J:$J,0))</f>
        <v>176</v>
      </c>
      <c r="W95" s="282"/>
      <c r="X95" s="282">
        <f t="shared" si="4"/>
        <v>0</v>
      </c>
      <c r="Y95" s="282"/>
      <c r="Z95" s="282"/>
      <c r="AB95" s="284" t="str">
        <f t="shared" si="5"/>
        <v>GoldPenglai Penggang Gold Industry Co., Ltd.</v>
      </c>
    </row>
    <row r="96" spans="1:28" s="283" customFormat="1" ht="25.15" customHeight="1">
      <c r="A96" s="235" t="s">
        <v>3271</v>
      </c>
      <c r="B96" s="236" t="s">
        <v>1263</v>
      </c>
      <c r="C96" s="242" t="s">
        <v>3270</v>
      </c>
      <c r="D96" s="236"/>
      <c r="E96" s="236" t="s">
        <v>1231</v>
      </c>
      <c r="F96" s="236" t="s">
        <v>3271</v>
      </c>
      <c r="G96" s="236" t="s">
        <v>14672</v>
      </c>
      <c r="H96" s="237"/>
      <c r="I96" s="238" t="s">
        <v>3272</v>
      </c>
      <c r="J96" s="238" t="s">
        <v>3273</v>
      </c>
      <c r="K96" s="240"/>
      <c r="L96" s="240"/>
      <c r="M96" s="240"/>
      <c r="N96" s="240"/>
      <c r="O96" s="240"/>
      <c r="P96" s="239" t="s">
        <v>15440</v>
      </c>
      <c r="Q96" s="241"/>
      <c r="R96" s="236" t="str">
        <f ca="1">IF(ISERROR($V96),"",OFFSET('Smelter Look-up'!$C$4,$V96-4,0)&amp;"")</f>
        <v>Planta Recuperadora de Metales SpA</v>
      </c>
      <c r="S96" s="250" t="str">
        <f t="shared" ca="1" si="3"/>
        <v>CL</v>
      </c>
      <c r="T96" s="250" t="str">
        <f ca="1">IF(B96="","",IF(ISERROR(MATCH($J96,SorP!$B$1:$B$6230,0)),"",INDIRECT("'SorP'!$A$"&amp;MATCH($J96,SorP!$B$1:$B$6230,0))))</f>
        <v>CL-AN</v>
      </c>
      <c r="U96" s="280"/>
      <c r="V96" s="281">
        <f>IF(C96="",NA(),MATCH($B96&amp;$C96,'Smelter Look-up'!$J:$J,0))</f>
        <v>179</v>
      </c>
      <c r="W96" s="282"/>
      <c r="X96" s="282">
        <f t="shared" si="4"/>
        <v>0</v>
      </c>
      <c r="Y96" s="282"/>
      <c r="Z96" s="282"/>
      <c r="AB96" s="284" t="str">
        <f t="shared" si="5"/>
        <v>GoldPlanta Recuperadora de Metales SpA</v>
      </c>
    </row>
    <row r="97" spans="1:28" s="283" customFormat="1" ht="25.15" customHeight="1">
      <c r="A97" s="235" t="s">
        <v>819</v>
      </c>
      <c r="B97" s="236" t="s">
        <v>1263</v>
      </c>
      <c r="C97" s="242" t="s">
        <v>1040</v>
      </c>
      <c r="D97" s="236"/>
      <c r="E97" s="236" t="s">
        <v>1011</v>
      </c>
      <c r="F97" s="236" t="s">
        <v>819</v>
      </c>
      <c r="G97" s="236" t="s">
        <v>14672</v>
      </c>
      <c r="H97" s="237"/>
      <c r="I97" s="238" t="s">
        <v>1915</v>
      </c>
      <c r="J97" s="347" t="s">
        <v>11043</v>
      </c>
      <c r="K97" s="345"/>
      <c r="L97" s="240"/>
      <c r="M97" s="240"/>
      <c r="N97" s="240"/>
      <c r="O97" s="240"/>
      <c r="P97" s="239" t="s">
        <v>15440</v>
      </c>
      <c r="Q97" s="241"/>
      <c r="R97" s="236" t="str">
        <f ca="1">IF(ISERROR($V97),"",OFFSET('Smelter Look-up'!$C$4,$V97-4,0)&amp;"")</f>
        <v>Prioksky Plant of Non-Ferrous Metals</v>
      </c>
      <c r="S97" s="250" t="str">
        <f t="shared" ca="1" si="3"/>
        <v>RU</v>
      </c>
      <c r="T97" s="250" t="str">
        <f ca="1">IF(B97="","",IF(ISERROR(MATCH($J97,SorP!$B$1:$B$6230,0)),"",INDIRECT("'SorP'!$A$"&amp;MATCH($J97,SorP!$B$1:$B$6230,0))))</f>
        <v>RU-RYA</v>
      </c>
      <c r="U97" s="280"/>
      <c r="V97" s="281">
        <f>IF(C97="",NA(),MATCH($B97&amp;$C97,'Smelter Look-up'!$J:$J,0))</f>
        <v>180</v>
      </c>
      <c r="W97" s="282"/>
      <c r="X97" s="282">
        <f t="shared" si="4"/>
        <v>0</v>
      </c>
      <c r="Y97" s="282"/>
      <c r="Z97" s="282"/>
      <c r="AB97" s="284" t="str">
        <f t="shared" si="5"/>
        <v>GoldPrioksky Plant of Non-Ferrous Metals</v>
      </c>
    </row>
    <row r="98" spans="1:28" s="283" customFormat="1" ht="25.15" customHeight="1">
      <c r="A98" s="235" t="s">
        <v>820</v>
      </c>
      <c r="B98" s="236" t="s">
        <v>1263</v>
      </c>
      <c r="C98" s="242" t="s">
        <v>1373</v>
      </c>
      <c r="D98" s="236"/>
      <c r="E98" s="236" t="s">
        <v>1238</v>
      </c>
      <c r="F98" s="236" t="s">
        <v>820</v>
      </c>
      <c r="G98" s="236" t="s">
        <v>14672</v>
      </c>
      <c r="H98" s="237"/>
      <c r="I98" s="238" t="s">
        <v>1916</v>
      </c>
      <c r="J98" s="238" t="s">
        <v>6887</v>
      </c>
      <c r="K98" s="240"/>
      <c r="L98" s="240"/>
      <c r="M98" s="240"/>
      <c r="N98" s="240"/>
      <c r="O98" s="240"/>
      <c r="P98" s="239" t="s">
        <v>15440</v>
      </c>
      <c r="Q98" s="241"/>
      <c r="R98" s="236" t="str">
        <f ca="1">IF(ISERROR($V98),"",OFFSET('Smelter Look-up'!$C$4,$V98-4,0)&amp;"")</f>
        <v>PT Aneka Tambang (Persero) Tbk</v>
      </c>
      <c r="S98" s="250" t="str">
        <f t="shared" ca="1" si="3"/>
        <v>ID</v>
      </c>
      <c r="T98" s="250" t="str">
        <f ca="1">IF(B98="","",IF(ISERROR(MATCH($J98,SorP!$B$1:$B$6230,0)),"",INDIRECT("'SorP'!$A$"&amp;MATCH($J98,SorP!$B$1:$B$6230,0))))</f>
        <v>ID-JK</v>
      </c>
      <c r="U98" s="280"/>
      <c r="V98" s="281">
        <f>IF(C98="",NA(),MATCH($B98&amp;$C98,'Smelter Look-up'!$J:$J,0))</f>
        <v>182</v>
      </c>
      <c r="W98" s="282"/>
      <c r="X98" s="282">
        <f t="shared" si="4"/>
        <v>0</v>
      </c>
      <c r="Y98" s="282"/>
      <c r="Z98" s="282"/>
      <c r="AB98" s="284" t="str">
        <f t="shared" si="5"/>
        <v>GoldPT Aneka Tambang (Persero) Tbk</v>
      </c>
    </row>
    <row r="99" spans="1:28" s="283" customFormat="1" ht="25.15" customHeight="1">
      <c r="A99" s="235" t="s">
        <v>821</v>
      </c>
      <c r="B99" s="236" t="s">
        <v>1263</v>
      </c>
      <c r="C99" s="242" t="s">
        <v>13599</v>
      </c>
      <c r="D99" s="236"/>
      <c r="E99" s="236" t="s">
        <v>1230</v>
      </c>
      <c r="F99" s="236" t="s">
        <v>821</v>
      </c>
      <c r="G99" s="236" t="s">
        <v>14672</v>
      </c>
      <c r="H99" s="237"/>
      <c r="I99" s="238" t="s">
        <v>1917</v>
      </c>
      <c r="J99" s="238" t="s">
        <v>1894</v>
      </c>
      <c r="K99" s="240"/>
      <c r="L99" s="240"/>
      <c r="M99" s="240"/>
      <c r="N99" s="240"/>
      <c r="O99" s="240"/>
      <c r="P99" s="239" t="s">
        <v>15440</v>
      </c>
      <c r="Q99" s="241"/>
      <c r="R99" s="236" t="str">
        <f ca="1">IF(ISERROR($V99),"",OFFSET('Smelter Look-up'!$C$4,$V99-4,0)&amp;"")</f>
        <v>PX Precinox S.A.</v>
      </c>
      <c r="S99" s="250" t="str">
        <f t="shared" ca="1" si="3"/>
        <v>CH</v>
      </c>
      <c r="T99" s="250" t="str">
        <f ca="1">IF(B99="","",IF(ISERROR(MATCH($J99,SorP!$B$1:$B$6230,0)),"",INDIRECT("'SorP'!$A$"&amp;MATCH($J99,SorP!$B$1:$B$6230,0))))</f>
        <v>CH-NE</v>
      </c>
      <c r="U99" s="280"/>
      <c r="V99" s="281">
        <f>IF(C99="",NA(),MATCH($B99&amp;$C99,'Smelter Look-up'!$J:$J,0))</f>
        <v>183</v>
      </c>
      <c r="W99" s="282"/>
      <c r="X99" s="282">
        <f t="shared" si="4"/>
        <v>0</v>
      </c>
      <c r="Y99" s="282"/>
      <c r="Z99" s="282"/>
      <c r="AB99" s="284" t="str">
        <f t="shared" si="5"/>
        <v>GoldPX Precinox S.A.</v>
      </c>
    </row>
    <row r="100" spans="1:28" s="283" customFormat="1" ht="25.15" customHeight="1">
      <c r="A100" s="235" t="s">
        <v>822</v>
      </c>
      <c r="B100" s="236" t="s">
        <v>1263</v>
      </c>
      <c r="C100" s="242" t="s">
        <v>2621</v>
      </c>
      <c r="D100" s="236"/>
      <c r="E100" s="236" t="s">
        <v>1021</v>
      </c>
      <c r="F100" s="236" t="s">
        <v>822</v>
      </c>
      <c r="G100" s="236" t="s">
        <v>14672</v>
      </c>
      <c r="H100" s="237"/>
      <c r="I100" s="238" t="s">
        <v>1918</v>
      </c>
      <c r="J100" s="238" t="s">
        <v>1919</v>
      </c>
      <c r="K100" s="240"/>
      <c r="L100" s="240"/>
      <c r="M100" s="240"/>
      <c r="N100" s="240"/>
      <c r="O100" s="240"/>
      <c r="P100" s="239" t="s">
        <v>15440</v>
      </c>
      <c r="Q100" s="241"/>
      <c r="R100" s="236" t="str">
        <f ca="1">IF(ISERROR($V100),"",OFFSET('Smelter Look-up'!$C$4,$V100-4,0)&amp;"")</f>
        <v>Rand Refinery (Pty) Ltd.</v>
      </c>
      <c r="S100" s="250" t="str">
        <f t="shared" ca="1" si="3"/>
        <v>ZA</v>
      </c>
      <c r="T100" s="250" t="str">
        <f ca="1">IF(B100="","",IF(ISERROR(MATCH($J100,SorP!$B$1:$B$6230,0)),"",INDIRECT("'SorP'!$A$"&amp;MATCH($J100,SorP!$B$1:$B$6230,0))))</f>
        <v>ZA-GT</v>
      </c>
      <c r="U100" s="280"/>
      <c r="V100" s="281">
        <f>IF(C100="",NA(),MATCH($B100&amp;$C100,'Smelter Look-up'!$J:$J,0))</f>
        <v>186</v>
      </c>
      <c r="W100" s="282"/>
      <c r="X100" s="282">
        <f t="shared" si="4"/>
        <v>0</v>
      </c>
      <c r="Y100" s="282"/>
      <c r="Z100" s="282"/>
      <c r="AB100" s="284" t="str">
        <f t="shared" si="5"/>
        <v>GoldRand Refinery (Pty) Ltd.</v>
      </c>
    </row>
    <row r="101" spans="1:28" s="283" customFormat="1" ht="25.15" customHeight="1">
      <c r="A101" s="235" t="s">
        <v>2999</v>
      </c>
      <c r="B101" s="236" t="s">
        <v>1263</v>
      </c>
      <c r="C101" s="242" t="s">
        <v>2998</v>
      </c>
      <c r="D101" s="236"/>
      <c r="E101" s="236" t="s">
        <v>1249</v>
      </c>
      <c r="F101" s="236" t="s">
        <v>2999</v>
      </c>
      <c r="G101" s="236" t="s">
        <v>14672</v>
      </c>
      <c r="H101" s="237"/>
      <c r="I101" s="238" t="s">
        <v>3042</v>
      </c>
      <c r="J101" s="347" t="s">
        <v>9991</v>
      </c>
      <c r="K101" s="345"/>
      <c r="L101" s="240"/>
      <c r="M101" s="240"/>
      <c r="N101" s="240"/>
      <c r="O101" s="240"/>
      <c r="P101" s="239" t="s">
        <v>15440</v>
      </c>
      <c r="Q101" s="241"/>
      <c r="R101" s="236" t="str">
        <f ca="1">IF(ISERROR($V101),"",OFFSET('Smelter Look-up'!$C$4,$V101-4,0)&amp;"")</f>
        <v>Remondis Argentia B.V.</v>
      </c>
      <c r="S101" s="250" t="str">
        <f t="shared" ca="1" si="3"/>
        <v>NL</v>
      </c>
      <c r="T101" s="250" t="str">
        <f ca="1">IF(B101="","",IF(ISERROR(MATCH($J101,SorP!$B$1:$B$6230,0)),"",INDIRECT("'SorP'!$A$"&amp;MATCH($J101,SorP!$B$1:$B$6230,0))))</f>
        <v>NL-NB</v>
      </c>
      <c r="U101" s="280"/>
      <c r="V101" s="281">
        <f>IF(C101="",NA(),MATCH($B101&amp;$C101,'Smelter Look-up'!$J:$J,0))</f>
        <v>189</v>
      </c>
      <c r="W101" s="282"/>
      <c r="X101" s="282">
        <f t="shared" si="4"/>
        <v>0</v>
      </c>
      <c r="Y101" s="282"/>
      <c r="Z101" s="282"/>
      <c r="AB101" s="284" t="str">
        <f t="shared" si="5"/>
        <v>GoldRemondis Argentia B.V.</v>
      </c>
    </row>
    <row r="102" spans="1:28" s="283" customFormat="1" ht="25.15" customHeight="1">
      <c r="A102" s="235" t="s">
        <v>1549</v>
      </c>
      <c r="B102" s="236" t="s">
        <v>1263</v>
      </c>
      <c r="C102" s="242" t="s">
        <v>1548</v>
      </c>
      <c r="D102" s="236"/>
      <c r="E102" s="236" t="s">
        <v>3153</v>
      </c>
      <c r="F102" s="236" t="s">
        <v>1549</v>
      </c>
      <c r="G102" s="236" t="s">
        <v>14672</v>
      </c>
      <c r="H102" s="237"/>
      <c r="I102" s="238" t="s">
        <v>1981</v>
      </c>
      <c r="J102" s="238" t="s">
        <v>1982</v>
      </c>
      <c r="K102" s="240"/>
      <c r="L102" s="240"/>
      <c r="M102" s="240"/>
      <c r="N102" s="240"/>
      <c r="O102" s="240"/>
      <c r="P102" s="239" t="s">
        <v>15440</v>
      </c>
      <c r="Q102" s="241"/>
      <c r="R102" s="236" t="str">
        <f ca="1">IF(ISERROR($V102),"",OFFSET('Smelter Look-up'!$C$4,$V102-4,0)&amp;"")</f>
        <v>Republic Metals Corporation</v>
      </c>
      <c r="S102" s="250" t="str">
        <f t="shared" ca="1" si="3"/>
        <v>US</v>
      </c>
      <c r="T102" s="250" t="str">
        <f ca="1">IF(B102="","",IF(ISERROR(MATCH($J102,SorP!$B$1:$B$6230,0)),"",INDIRECT("'SorP'!$A$"&amp;MATCH($J102,SorP!$B$1:$B$6230,0))))</f>
        <v>US-FL</v>
      </c>
      <c r="U102" s="280"/>
      <c r="V102" s="281">
        <f>IF(C102="",NA(),MATCH($B102&amp;$C102,'Smelter Look-up'!$J:$J,0))</f>
        <v>190</v>
      </c>
      <c r="W102" s="282"/>
      <c r="X102" s="282">
        <f t="shared" si="4"/>
        <v>0</v>
      </c>
      <c r="Y102" s="282"/>
      <c r="Z102" s="282"/>
      <c r="AB102" s="284" t="str">
        <f t="shared" si="5"/>
        <v>GoldRepublic Metals Corporation</v>
      </c>
    </row>
    <row r="103" spans="1:28" s="283" customFormat="1" ht="25.15" customHeight="1">
      <c r="A103" s="235" t="s">
        <v>823</v>
      </c>
      <c r="B103" s="236" t="s">
        <v>1263</v>
      </c>
      <c r="C103" s="242" t="s">
        <v>1041</v>
      </c>
      <c r="D103" s="236"/>
      <c r="E103" s="236" t="s">
        <v>1229</v>
      </c>
      <c r="F103" s="236" t="s">
        <v>823</v>
      </c>
      <c r="G103" s="236" t="s">
        <v>14672</v>
      </c>
      <c r="H103" s="237"/>
      <c r="I103" s="238" t="s">
        <v>1920</v>
      </c>
      <c r="J103" s="238" t="s">
        <v>1872</v>
      </c>
      <c r="K103" s="240"/>
      <c r="L103" s="240"/>
      <c r="M103" s="240"/>
      <c r="N103" s="240"/>
      <c r="O103" s="240"/>
      <c r="P103" s="239" t="s">
        <v>15440</v>
      </c>
      <c r="Q103" s="241"/>
      <c r="R103" s="236" t="str">
        <f ca="1">IF(ISERROR($V103),"",OFFSET('Smelter Look-up'!$C$4,$V103-4,0)&amp;"")</f>
        <v>Royal Canadian Mint</v>
      </c>
      <c r="S103" s="250" t="str">
        <f t="shared" ca="1" si="3"/>
        <v>CA</v>
      </c>
      <c r="T103" s="250" t="str">
        <f ca="1">IF(B103="","",IF(ISERROR(MATCH($J103,SorP!$B$1:$B$6230,0)),"",INDIRECT("'SorP'!$A$"&amp;MATCH($J103,SorP!$B$1:$B$6230,0))))</f>
        <v>CA-ON</v>
      </c>
      <c r="U103" s="280"/>
      <c r="V103" s="281">
        <f>IF(C103="",NA(),MATCH($B103&amp;$C103,'Smelter Look-up'!$J:$J,0))</f>
        <v>191</v>
      </c>
      <c r="W103" s="282"/>
      <c r="X103" s="282">
        <f t="shared" si="4"/>
        <v>0</v>
      </c>
      <c r="Y103" s="282"/>
      <c r="Z103" s="282"/>
      <c r="AB103" s="284" t="str">
        <f t="shared" si="5"/>
        <v>GoldRoyal Canadian Mint</v>
      </c>
    </row>
    <row r="104" spans="1:28" s="283" customFormat="1" ht="25.15" customHeight="1">
      <c r="A104" s="235" t="s">
        <v>2758</v>
      </c>
      <c r="B104" s="236" t="s">
        <v>1263</v>
      </c>
      <c r="C104" s="242" t="s">
        <v>2757</v>
      </c>
      <c r="D104" s="236"/>
      <c r="E104" s="236" t="s">
        <v>1237</v>
      </c>
      <c r="F104" s="236" t="s">
        <v>2758</v>
      </c>
      <c r="G104" s="236" t="s">
        <v>14672</v>
      </c>
      <c r="H104" s="237"/>
      <c r="I104" s="238" t="s">
        <v>2759</v>
      </c>
      <c r="J104" s="238" t="s">
        <v>5744</v>
      </c>
      <c r="K104" s="240"/>
      <c r="L104" s="240"/>
      <c r="M104" s="240"/>
      <c r="N104" s="240"/>
      <c r="O104" s="240"/>
      <c r="P104" s="239" t="s">
        <v>15440</v>
      </c>
      <c r="Q104" s="241"/>
      <c r="R104" s="236" t="str">
        <f ca="1">IF(ISERROR($V104),"",OFFSET('Smelter Look-up'!$C$4,$V104-4,0)&amp;"")</f>
        <v>SAAMP</v>
      </c>
      <c r="S104" s="250" t="str">
        <f t="shared" ca="1" si="3"/>
        <v>FR</v>
      </c>
      <c r="T104" s="250" t="str">
        <f ca="1">IF(B104="","",IF(ISERROR(MATCH($J104,SorP!$B$1:$B$6230,0)),"",INDIRECT("'SorP'!$A$"&amp;MATCH($J104,SorP!$B$1:$B$6230,0))))</f>
        <v>FR-IDF</v>
      </c>
      <c r="U104" s="280"/>
      <c r="V104" s="281">
        <f>IF(C104="",NA(),MATCH($B104&amp;$C104,'Smelter Look-up'!$J:$J,0))</f>
        <v>192</v>
      </c>
      <c r="W104" s="282"/>
      <c r="X104" s="282">
        <f t="shared" si="4"/>
        <v>0</v>
      </c>
      <c r="Y104" s="282"/>
      <c r="Z104" s="282"/>
      <c r="AB104" s="284" t="str">
        <f t="shared" si="5"/>
        <v>GoldSAAMP</v>
      </c>
    </row>
    <row r="105" spans="1:28" s="283" customFormat="1" ht="25.15" customHeight="1">
      <c r="A105" s="235" t="s">
        <v>824</v>
      </c>
      <c r="B105" s="236" t="s">
        <v>1263</v>
      </c>
      <c r="C105" s="242" t="s">
        <v>1300</v>
      </c>
      <c r="D105" s="236"/>
      <c r="E105" s="236" t="s">
        <v>3153</v>
      </c>
      <c r="F105" s="236" t="s">
        <v>824</v>
      </c>
      <c r="G105" s="236" t="s">
        <v>14672</v>
      </c>
      <c r="H105" s="237"/>
      <c r="I105" s="238" t="s">
        <v>1921</v>
      </c>
      <c r="J105" s="347" t="s">
        <v>1922</v>
      </c>
      <c r="K105" s="345"/>
      <c r="L105" s="240"/>
      <c r="M105" s="240"/>
      <c r="N105" s="240"/>
      <c r="O105" s="240"/>
      <c r="P105" s="239" t="s">
        <v>15440</v>
      </c>
      <c r="Q105" s="241"/>
      <c r="R105" s="236" t="str">
        <f ca="1">IF(ISERROR($V105),"",OFFSET('Smelter Look-up'!$C$4,$V105-4,0)&amp;"")</f>
        <v>Sabin Metal Corp.</v>
      </c>
      <c r="S105" s="250" t="str">
        <f t="shared" ca="1" si="3"/>
        <v>US</v>
      </c>
      <c r="T105" s="250" t="str">
        <f ca="1">IF(B105="","",IF(ISERROR(MATCH($J105,SorP!$B$1:$B$6230,0)),"",INDIRECT("'SorP'!$A$"&amp;MATCH($J105,SorP!$B$1:$B$6230,0))))</f>
        <v>US-ND</v>
      </c>
      <c r="U105" s="280"/>
      <c r="V105" s="281">
        <f>IF(C105="",NA(),MATCH($B105&amp;$C105,'Smelter Look-up'!$J:$J,0))</f>
        <v>193</v>
      </c>
      <c r="W105" s="282"/>
      <c r="X105" s="282">
        <f t="shared" si="4"/>
        <v>0</v>
      </c>
      <c r="Y105" s="282"/>
      <c r="Z105" s="282"/>
      <c r="AB105" s="284" t="str">
        <f t="shared" si="5"/>
        <v>GoldSabin Metal Corp.</v>
      </c>
    </row>
    <row r="106" spans="1:28" s="283" customFormat="1" ht="25.15" customHeight="1">
      <c r="A106" s="235" t="s">
        <v>3275</v>
      </c>
      <c r="B106" s="236" t="s">
        <v>1263</v>
      </c>
      <c r="C106" s="242" t="s">
        <v>3274</v>
      </c>
      <c r="D106" s="236"/>
      <c r="E106" s="236" t="s">
        <v>1240</v>
      </c>
      <c r="F106" s="236" t="s">
        <v>3275</v>
      </c>
      <c r="G106" s="236" t="s">
        <v>14672</v>
      </c>
      <c r="H106" s="237"/>
      <c r="I106" s="238" t="s">
        <v>1832</v>
      </c>
      <c r="J106" s="238" t="s">
        <v>7391</v>
      </c>
      <c r="K106" s="240"/>
      <c r="L106" s="240"/>
      <c r="M106" s="240"/>
      <c r="N106" s="240"/>
      <c r="O106" s="240"/>
      <c r="P106" s="239" t="s">
        <v>15440</v>
      </c>
      <c r="Q106" s="241"/>
      <c r="R106" s="236" t="str">
        <f ca="1">IF(ISERROR($V106),"",OFFSET('Smelter Look-up'!$C$4,$V106-4,0)&amp;"")</f>
        <v>Safimet S.p.A</v>
      </c>
      <c r="S106" s="250" t="str">
        <f t="shared" ca="1" si="3"/>
        <v>IT</v>
      </c>
      <c r="T106" s="250" t="str">
        <f ca="1">IF(B106="","",IF(ISERROR(MATCH($J106,SorP!$B$1:$B$6230,0)),"",INDIRECT("'SorP'!$A$"&amp;MATCH($J106,SorP!$B$1:$B$6230,0))))</f>
        <v>IT-52</v>
      </c>
      <c r="U106" s="280"/>
      <c r="V106" s="281">
        <f>IF(C106="",NA(),MATCH($B106&amp;$C106,'Smelter Look-up'!$J:$J,0))</f>
        <v>194</v>
      </c>
      <c r="W106" s="282"/>
      <c r="X106" s="282">
        <f t="shared" si="4"/>
        <v>0</v>
      </c>
      <c r="Y106" s="282"/>
      <c r="Z106" s="282"/>
      <c r="AB106" s="284" t="str">
        <f t="shared" si="5"/>
        <v>GoldSafimet S.p.A</v>
      </c>
    </row>
    <row r="107" spans="1:28" s="283" customFormat="1" ht="25.15" customHeight="1">
      <c r="A107" s="235" t="s">
        <v>3004</v>
      </c>
      <c r="B107" s="236" t="s">
        <v>1263</v>
      </c>
      <c r="C107" s="242" t="s">
        <v>3003</v>
      </c>
      <c r="D107" s="236"/>
      <c r="E107" s="236" t="s">
        <v>1239</v>
      </c>
      <c r="F107" s="236" t="s">
        <v>3004</v>
      </c>
      <c r="G107" s="236" t="s">
        <v>14672</v>
      </c>
      <c r="H107" s="237"/>
      <c r="I107" s="238" t="s">
        <v>3005</v>
      </c>
      <c r="J107" s="347" t="s">
        <v>3006</v>
      </c>
      <c r="K107" s="345"/>
      <c r="L107" s="240"/>
      <c r="M107" s="240"/>
      <c r="N107" s="240"/>
      <c r="O107" s="240"/>
      <c r="P107" s="239" t="s">
        <v>15440</v>
      </c>
      <c r="Q107" s="241"/>
      <c r="R107" s="236" t="str">
        <f ca="1">IF(ISERROR($V107),"",OFFSET('Smelter Look-up'!$C$4,$V107-4,0)&amp;"")</f>
        <v>Sai Refinery</v>
      </c>
      <c r="S107" s="250" t="str">
        <f t="shared" ca="1" si="3"/>
        <v>IN</v>
      </c>
      <c r="T107" s="250" t="str">
        <f ca="1">IF(B107="","",IF(ISERROR(MATCH($J107,SorP!$B$1:$B$6230,0)),"",INDIRECT("'SorP'!$A$"&amp;MATCH($J107,SorP!$B$1:$B$6230,0))))</f>
        <v>IN-HP</v>
      </c>
      <c r="U107" s="280"/>
      <c r="V107" s="281">
        <f>IF(C107="",NA(),MATCH($B107&amp;$C107,'Smelter Look-up'!$J:$J,0))</f>
        <v>197</v>
      </c>
      <c r="W107" s="282"/>
      <c r="X107" s="282">
        <f t="shared" si="4"/>
        <v>0</v>
      </c>
      <c r="Y107" s="282"/>
      <c r="Z107" s="282"/>
      <c r="AB107" s="284" t="str">
        <f t="shared" si="5"/>
        <v>GoldSai Refinery</v>
      </c>
    </row>
    <row r="108" spans="1:28" s="283" customFormat="1" ht="25.15" customHeight="1">
      <c r="A108" s="235" t="s">
        <v>1577</v>
      </c>
      <c r="B108" s="236" t="s">
        <v>1263</v>
      </c>
      <c r="C108" s="242" t="s">
        <v>1576</v>
      </c>
      <c r="D108" s="236"/>
      <c r="E108" s="236" t="s">
        <v>1244</v>
      </c>
      <c r="F108" s="236" t="s">
        <v>1577</v>
      </c>
      <c r="G108" s="236" t="s">
        <v>14672</v>
      </c>
      <c r="H108" s="237"/>
      <c r="I108" s="238" t="s">
        <v>1834</v>
      </c>
      <c r="J108" s="347" t="s">
        <v>14235</v>
      </c>
      <c r="K108" s="345"/>
      <c r="L108" s="240"/>
      <c r="M108" s="240"/>
      <c r="N108" s="240"/>
      <c r="O108" s="240"/>
      <c r="P108" s="239" t="s">
        <v>15440</v>
      </c>
      <c r="Q108" s="241"/>
      <c r="R108" s="236" t="str">
        <f ca="1">IF(ISERROR($V108),"",OFFSET('Smelter Look-up'!$C$4,$V108-4,0)&amp;"")</f>
        <v>Samduck Precious Metals</v>
      </c>
      <c r="S108" s="250" t="str">
        <f t="shared" ca="1" si="3"/>
        <v>KR</v>
      </c>
      <c r="T108" s="250" t="str">
        <f ca="1">IF(B108="","",IF(ISERROR(MATCH($J108,SorP!$B$1:$B$6230,0)),"",INDIRECT("'SorP'!$A$"&amp;MATCH($J108,SorP!$B$1:$B$6230,0))))</f>
        <v>KR-28</v>
      </c>
      <c r="U108" s="280"/>
      <c r="V108" s="281">
        <f>IF(C108="",NA(),MATCH($B108&amp;$C108,'Smelter Look-up'!$J:$J,0))</f>
        <v>199</v>
      </c>
      <c r="W108" s="282"/>
      <c r="X108" s="282">
        <f t="shared" si="4"/>
        <v>0</v>
      </c>
      <c r="Y108" s="282"/>
      <c r="Z108" s="282"/>
      <c r="AB108" s="284" t="str">
        <f t="shared" si="5"/>
        <v>GoldSamduck Precious Metals</v>
      </c>
    </row>
    <row r="109" spans="1:28" s="283" customFormat="1" ht="25.15" customHeight="1">
      <c r="A109" s="235" t="s">
        <v>825</v>
      </c>
      <c r="B109" s="236" t="s">
        <v>1263</v>
      </c>
      <c r="C109" s="242" t="s">
        <v>3166</v>
      </c>
      <c r="D109" s="236"/>
      <c r="E109" s="236" t="s">
        <v>1244</v>
      </c>
      <c r="F109" s="236" t="s">
        <v>825</v>
      </c>
      <c r="G109" s="236" t="s">
        <v>14672</v>
      </c>
      <c r="H109" s="237"/>
      <c r="I109" s="238" t="s">
        <v>1925</v>
      </c>
      <c r="J109" s="347" t="s">
        <v>14242</v>
      </c>
      <c r="K109" s="345"/>
      <c r="L109" s="240"/>
      <c r="M109" s="240"/>
      <c r="N109" s="240"/>
      <c r="O109" s="240"/>
      <c r="P109" s="239" t="s">
        <v>15440</v>
      </c>
      <c r="Q109" s="241"/>
      <c r="R109" s="236" t="str">
        <f ca="1">IF(ISERROR($V109),"",OFFSET('Smelter Look-up'!$C$4,$V109-4,0)&amp;"")</f>
        <v>Samwon Metals Corp.</v>
      </c>
      <c r="S109" s="250" t="str">
        <f t="shared" ca="1" si="3"/>
        <v>KR</v>
      </c>
      <c r="T109" s="250" t="str">
        <f ca="1">IF(B109="","",IF(ISERROR(MATCH($J109,SorP!$B$1:$B$6230,0)),"",INDIRECT("'SorP'!$A$"&amp;MATCH($J109,SorP!$B$1:$B$6230,0))))</f>
        <v>KR-48</v>
      </c>
      <c r="U109" s="280"/>
      <c r="V109" s="281">
        <f>IF(C109="",NA(),MATCH($B109&amp;$C109,'Smelter Look-up'!$J:$J,0))</f>
        <v>200</v>
      </c>
      <c r="W109" s="282"/>
      <c r="X109" s="282">
        <f t="shared" si="4"/>
        <v>0</v>
      </c>
      <c r="Y109" s="282"/>
      <c r="Z109" s="282"/>
      <c r="AB109" s="284" t="str">
        <f t="shared" si="5"/>
        <v>GoldSamwon Metals Corp.</v>
      </c>
    </row>
    <row r="110" spans="1:28" s="283" customFormat="1" ht="25.15" customHeight="1">
      <c r="A110" s="235" t="s">
        <v>2691</v>
      </c>
      <c r="B110" s="236" t="s">
        <v>1263</v>
      </c>
      <c r="C110" s="242" t="s">
        <v>2688</v>
      </c>
      <c r="D110" s="236"/>
      <c r="E110" s="236" t="s">
        <v>1234</v>
      </c>
      <c r="F110" s="236" t="s">
        <v>2691</v>
      </c>
      <c r="G110" s="236" t="s">
        <v>14672</v>
      </c>
      <c r="H110" s="237"/>
      <c r="I110" s="238" t="s">
        <v>2071</v>
      </c>
      <c r="J110" s="238" t="s">
        <v>5081</v>
      </c>
      <c r="K110" s="240"/>
      <c r="L110" s="240"/>
      <c r="M110" s="240"/>
      <c r="N110" s="240"/>
      <c r="O110" s="240"/>
      <c r="P110" s="239" t="s">
        <v>15440</v>
      </c>
      <c r="Q110" s="241"/>
      <c r="R110" s="236" t="str">
        <f ca="1">IF(ISERROR($V110),"",OFFSET('Smelter Look-up'!$C$4,$V110-4,0)&amp;"")</f>
        <v>SAXONIA Edelmetalle GmbH</v>
      </c>
      <c r="S110" s="250" t="str">
        <f t="shared" ca="1" si="3"/>
        <v>DE</v>
      </c>
      <c r="T110" s="250" t="str">
        <f ca="1">IF(B110="","",IF(ISERROR(MATCH($J110,SorP!$B$1:$B$6230,0)),"",INDIRECT("'SorP'!$A$"&amp;MATCH($J110,SorP!$B$1:$B$6230,0))))</f>
        <v>DE-SN</v>
      </c>
      <c r="U110" s="280"/>
      <c r="V110" s="281">
        <f>IF(C110="",NA(),MATCH($B110&amp;$C110,'Smelter Look-up'!$J:$J,0))</f>
        <v>201</v>
      </c>
      <c r="W110" s="282"/>
      <c r="X110" s="282">
        <f t="shared" si="4"/>
        <v>0</v>
      </c>
      <c r="Y110" s="282"/>
      <c r="Z110" s="282"/>
      <c r="AB110" s="284" t="str">
        <f t="shared" si="5"/>
        <v>GoldSAXONIA Edelmetalle GmbH</v>
      </c>
    </row>
    <row r="111" spans="1:28" s="283" customFormat="1" ht="25.15" customHeight="1">
      <c r="A111" s="235" t="s">
        <v>826</v>
      </c>
      <c r="B111" s="236" t="s">
        <v>1263</v>
      </c>
      <c r="C111" s="242" t="s">
        <v>2703</v>
      </c>
      <c r="D111" s="236"/>
      <c r="E111" s="236" t="s">
        <v>1249</v>
      </c>
      <c r="F111" s="236" t="s">
        <v>826</v>
      </c>
      <c r="G111" s="236" t="s">
        <v>14672</v>
      </c>
      <c r="H111" s="237"/>
      <c r="I111" s="238" t="s">
        <v>1926</v>
      </c>
      <c r="J111" s="347" t="s">
        <v>9993</v>
      </c>
      <c r="K111" s="345"/>
      <c r="L111" s="240"/>
      <c r="M111" s="240"/>
      <c r="N111" s="240"/>
      <c r="O111" s="240"/>
      <c r="P111" s="239" t="s">
        <v>15440</v>
      </c>
      <c r="Q111" s="241"/>
      <c r="R111" s="236" t="str">
        <f ca="1">IF(ISERROR($V111),"",OFFSET('Smelter Look-up'!$C$4,$V111-4,0)&amp;"")</f>
        <v>Schone Edelmetaal B.V.</v>
      </c>
      <c r="S111" s="250" t="str">
        <f t="shared" ca="1" si="3"/>
        <v>NL</v>
      </c>
      <c r="T111" s="250" t="str">
        <f ca="1">IF(B111="","",IF(ISERROR(MATCH($J111,SorP!$B$1:$B$6230,0)),"",INDIRECT("'SorP'!$A$"&amp;MATCH($J111,SorP!$B$1:$B$6230,0))))</f>
        <v>NL-NH</v>
      </c>
      <c r="U111" s="280"/>
      <c r="V111" s="281">
        <f>IF(C111="",NA(),MATCH($B111&amp;$C111,'Smelter Look-up'!$J:$J,0))</f>
        <v>202</v>
      </c>
      <c r="W111" s="282"/>
      <c r="X111" s="282">
        <f t="shared" si="4"/>
        <v>0</v>
      </c>
      <c r="Y111" s="282"/>
      <c r="Z111" s="282"/>
      <c r="AB111" s="284" t="str">
        <f t="shared" si="5"/>
        <v>GoldSchone Edelmetaal B.V.</v>
      </c>
    </row>
    <row r="112" spans="1:28" s="283" customFormat="1" ht="25.15" customHeight="1">
      <c r="A112" s="235" t="s">
        <v>827</v>
      </c>
      <c r="B112" s="236" t="s">
        <v>1263</v>
      </c>
      <c r="C112" s="242" t="s">
        <v>13600</v>
      </c>
      <c r="D112" s="236"/>
      <c r="E112" s="236" t="s">
        <v>1235</v>
      </c>
      <c r="F112" s="236" t="s">
        <v>827</v>
      </c>
      <c r="G112" s="236" t="s">
        <v>14672</v>
      </c>
      <c r="H112" s="237"/>
      <c r="I112" s="238" t="s">
        <v>1927</v>
      </c>
      <c r="J112" s="347" t="s">
        <v>5531</v>
      </c>
      <c r="K112" s="345"/>
      <c r="L112" s="240"/>
      <c r="M112" s="240"/>
      <c r="N112" s="240"/>
      <c r="O112" s="240"/>
      <c r="P112" s="239" t="s">
        <v>15440</v>
      </c>
      <c r="Q112" s="241"/>
      <c r="R112" s="236" t="str">
        <f ca="1">IF(ISERROR($V112),"",OFFSET('Smelter Look-up'!$C$4,$V112-4,0)&amp;"")</f>
        <v>SEMPSA Joyeria Plateria S.A.</v>
      </c>
      <c r="S112" s="250" t="str">
        <f t="shared" ca="1" si="3"/>
        <v>ES</v>
      </c>
      <c r="T112" s="250" t="str">
        <f ca="1">IF(B112="","",IF(ISERROR(MATCH($J112,SorP!$B$1:$B$6230,0)),"",INDIRECT("'SorP'!$A$"&amp;MATCH($J112,SorP!$B$1:$B$6230,0))))</f>
        <v>ES-MD</v>
      </c>
      <c r="U112" s="280"/>
      <c r="V112" s="281">
        <f>IF(C112="",NA(),MATCH($B112&amp;$C112,'Smelter Look-up'!$J:$J,0))</f>
        <v>204</v>
      </c>
      <c r="W112" s="282"/>
      <c r="X112" s="282">
        <f t="shared" si="4"/>
        <v>0</v>
      </c>
      <c r="Y112" s="282"/>
      <c r="Z112" s="282"/>
      <c r="AB112" s="284" t="str">
        <f t="shared" si="5"/>
        <v>GoldSEMPSA Joyeria Plateria S.A.</v>
      </c>
    </row>
    <row r="113" spans="1:28" s="283" customFormat="1" ht="25.15" customHeight="1">
      <c r="A113" s="235" t="s">
        <v>1930</v>
      </c>
      <c r="B113" s="236" t="s">
        <v>1263</v>
      </c>
      <c r="C113" s="242" t="s">
        <v>1929</v>
      </c>
      <c r="D113" s="236"/>
      <c r="E113" s="236" t="s">
        <v>1232</v>
      </c>
      <c r="F113" s="236" t="s">
        <v>1930</v>
      </c>
      <c r="G113" s="236" t="s">
        <v>14672</v>
      </c>
      <c r="H113" s="237"/>
      <c r="I113" s="238" t="s">
        <v>1931</v>
      </c>
      <c r="J113" s="238" t="s">
        <v>1914</v>
      </c>
      <c r="K113" s="240"/>
      <c r="L113" s="240"/>
      <c r="M113" s="240"/>
      <c r="N113" s="240"/>
      <c r="O113" s="240"/>
      <c r="P113" s="239" t="s">
        <v>15440</v>
      </c>
      <c r="Q113" s="241"/>
      <c r="R113" s="236" t="str">
        <f ca="1">IF(ISERROR($V113),"",OFFSET('Smelter Look-up'!$C$4,$V113-4,0)&amp;"")</f>
        <v>Shandong Tiancheng Biological Gold Industrial Co., Ltd.</v>
      </c>
      <c r="S113" s="250" t="str">
        <f t="shared" ca="1" si="3"/>
        <v>CN</v>
      </c>
      <c r="T113" s="250" t="str">
        <f ca="1">IF(B113="","",IF(ISERROR(MATCH($J113,SorP!$B$1:$B$6230,0)),"",INDIRECT("'SorP'!$A$"&amp;MATCH($J113,SorP!$B$1:$B$6230,0))))</f>
        <v>CN-37</v>
      </c>
      <c r="U113" s="280"/>
      <c r="V113" s="281">
        <f>IF(C113="",NA(),MATCH($B113&amp;$C113,'Smelter Look-up'!$J:$J,0))</f>
        <v>211</v>
      </c>
      <c r="W113" s="282"/>
      <c r="X113" s="282">
        <f t="shared" si="4"/>
        <v>0</v>
      </c>
      <c r="Y113" s="282"/>
      <c r="Z113" s="282"/>
      <c r="AB113" s="284" t="str">
        <f t="shared" si="5"/>
        <v>GoldShandong Tiancheng Biological Gold Industrial Co., Ltd.</v>
      </c>
    </row>
    <row r="114" spans="1:28" s="283" customFormat="1" ht="25.15" customHeight="1">
      <c r="A114" s="235" t="s">
        <v>828</v>
      </c>
      <c r="B114" s="236" t="s">
        <v>1263</v>
      </c>
      <c r="C114" s="242" t="s">
        <v>2623</v>
      </c>
      <c r="D114" s="236"/>
      <c r="E114" s="236" t="s">
        <v>1232</v>
      </c>
      <c r="F114" s="236" t="s">
        <v>828</v>
      </c>
      <c r="G114" s="236" t="s">
        <v>14672</v>
      </c>
      <c r="H114" s="237"/>
      <c r="I114" s="238" t="s">
        <v>1850</v>
      </c>
      <c r="J114" s="238" t="s">
        <v>1914</v>
      </c>
      <c r="K114" s="240"/>
      <c r="L114" s="240"/>
      <c r="M114" s="240"/>
      <c r="N114" s="240"/>
      <c r="O114" s="240"/>
      <c r="P114" s="239" t="s">
        <v>15440</v>
      </c>
      <c r="Q114" s="241"/>
      <c r="R114" s="236" t="str">
        <f ca="1">IF(ISERROR($V114),"",OFFSET('Smelter Look-up'!$C$4,$V114-4,0)&amp;"")</f>
        <v>Shandong Zhaojin Gold &amp; Silver Refinery Co., Ltd.</v>
      </c>
      <c r="S114" s="250" t="str">
        <f t="shared" ca="1" si="3"/>
        <v>CN</v>
      </c>
      <c r="T114" s="250" t="str">
        <f ca="1">IF(B114="","",IF(ISERROR(MATCH($J114,SorP!$B$1:$B$6230,0)),"",INDIRECT("'SorP'!$A$"&amp;MATCH($J114,SorP!$B$1:$B$6230,0))))</f>
        <v>CN-37</v>
      </c>
      <c r="U114" s="280"/>
      <c r="V114" s="281">
        <f>IF(C114="",NA(),MATCH($B114&amp;$C114,'Smelter Look-up'!$J:$J,0))</f>
        <v>212</v>
      </c>
      <c r="W114" s="282"/>
      <c r="X114" s="282">
        <f t="shared" si="4"/>
        <v>0</v>
      </c>
      <c r="Y114" s="282"/>
      <c r="Z114" s="282"/>
      <c r="AB114" s="284" t="str">
        <f t="shared" si="5"/>
        <v>GoldShandong Zhaojin Gold &amp; Silver Refinery Co., Ltd.</v>
      </c>
    </row>
    <row r="115" spans="1:28" s="283" customFormat="1" ht="25.15" customHeight="1">
      <c r="A115" s="235" t="s">
        <v>1550</v>
      </c>
      <c r="B115" s="236" t="s">
        <v>1263</v>
      </c>
      <c r="C115" s="242" t="s">
        <v>2624</v>
      </c>
      <c r="D115" s="236"/>
      <c r="E115" s="236" t="s">
        <v>1232</v>
      </c>
      <c r="F115" s="236" t="s">
        <v>1550</v>
      </c>
      <c r="G115" s="236" t="s">
        <v>14672</v>
      </c>
      <c r="H115" s="237"/>
      <c r="I115" s="238" t="s">
        <v>1935</v>
      </c>
      <c r="J115" s="238" t="s">
        <v>1936</v>
      </c>
      <c r="K115" s="240"/>
      <c r="L115" s="240"/>
      <c r="M115" s="240"/>
      <c r="N115" s="240"/>
      <c r="O115" s="240"/>
      <c r="P115" s="239" t="s">
        <v>15440</v>
      </c>
      <c r="Q115" s="241"/>
      <c r="R115" s="236" t="str">
        <f ca="1">IF(ISERROR($V115),"",OFFSET('Smelter Look-up'!$C$4,$V115-4,0)&amp;"")</f>
        <v>Sichuan Tianze Precious Metals Co., Ltd.</v>
      </c>
      <c r="S115" s="250" t="str">
        <f t="shared" ca="1" si="3"/>
        <v>CN</v>
      </c>
      <c r="T115" s="250" t="str">
        <f ca="1">IF(B115="","",IF(ISERROR(MATCH($J115,SorP!$B$1:$B$6230,0)),"",INDIRECT("'SorP'!$A$"&amp;MATCH($J115,SorP!$B$1:$B$6230,0))))</f>
        <v>CN-51</v>
      </c>
      <c r="U115" s="280"/>
      <c r="V115" s="281">
        <f>IF(C115="",NA(),MATCH($B115&amp;$C115,'Smelter Look-up'!$J:$J,0))</f>
        <v>216</v>
      </c>
      <c r="W115" s="282"/>
      <c r="X115" s="282">
        <f t="shared" si="4"/>
        <v>0</v>
      </c>
      <c r="Y115" s="282"/>
      <c r="Z115" s="282"/>
      <c r="AB115" s="284" t="str">
        <f t="shared" si="5"/>
        <v>GoldSichuan Tianze Precious Metals Co., Ltd.</v>
      </c>
    </row>
    <row r="116" spans="1:28" s="283" customFormat="1" ht="25.15" customHeight="1">
      <c r="A116" s="235" t="s">
        <v>1552</v>
      </c>
      <c r="B116" s="236" t="s">
        <v>1263</v>
      </c>
      <c r="C116" s="242" t="s">
        <v>1551</v>
      </c>
      <c r="D116" s="236"/>
      <c r="E116" s="236" t="s">
        <v>3152</v>
      </c>
      <c r="F116" s="236" t="s">
        <v>1552</v>
      </c>
      <c r="G116" s="236" t="s">
        <v>14672</v>
      </c>
      <c r="H116" s="237"/>
      <c r="I116" s="238" t="s">
        <v>1986</v>
      </c>
      <c r="J116" s="238" t="s">
        <v>1987</v>
      </c>
      <c r="K116" s="240"/>
      <c r="L116" s="240"/>
      <c r="M116" s="240"/>
      <c r="N116" s="240"/>
      <c r="O116" s="240"/>
      <c r="P116" s="239" t="s">
        <v>15440</v>
      </c>
      <c r="Q116" s="241"/>
      <c r="R116" s="236" t="str">
        <f ca="1">IF(ISERROR($V116),"",OFFSET('Smelter Look-up'!$C$4,$V116-4,0)&amp;"")</f>
        <v>Singway Technology Co., Ltd.</v>
      </c>
      <c r="S116" s="250" t="str">
        <f t="shared" ca="1" si="3"/>
        <v>TW</v>
      </c>
      <c r="T116" s="250" t="str">
        <f ca="1">IF(B116="","",IF(ISERROR(MATCH($J116,SorP!$B$1:$B$6230,0)),"",INDIRECT("'SorP'!$A$"&amp;MATCH($J116,SorP!$B$1:$B$6230,0))))</f>
        <v>TW-TAO</v>
      </c>
      <c r="U116" s="280"/>
      <c r="V116" s="281">
        <f>IF(C116="",NA(),MATCH($B116&amp;$C116,'Smelter Look-up'!$J:$J,0))</f>
        <v>218</v>
      </c>
      <c r="W116" s="282"/>
      <c r="X116" s="282">
        <f t="shared" si="4"/>
        <v>0</v>
      </c>
      <c r="Y116" s="282"/>
      <c r="Z116" s="282"/>
      <c r="AB116" s="284" t="str">
        <f t="shared" si="5"/>
        <v>GoldSingway Technology Co., Ltd.</v>
      </c>
    </row>
    <row r="117" spans="1:28" s="283" customFormat="1" ht="25.15" customHeight="1">
      <c r="A117" s="235"/>
      <c r="B117" s="236" t="s">
        <v>1263</v>
      </c>
      <c r="C117" s="242" t="s">
        <v>2168</v>
      </c>
      <c r="D117" s="236" t="s">
        <v>15441</v>
      </c>
      <c r="E117" s="236" t="s">
        <v>1232</v>
      </c>
      <c r="F117" s="236"/>
      <c r="G117" s="236"/>
      <c r="H117" s="237"/>
      <c r="I117" s="238"/>
      <c r="J117" s="238"/>
      <c r="K117" s="240"/>
      <c r="L117" s="240"/>
      <c r="M117" s="240"/>
      <c r="N117" s="240"/>
      <c r="O117" s="240"/>
      <c r="P117" s="239" t="s">
        <v>15440</v>
      </c>
      <c r="Q117" s="241"/>
      <c r="R117" s="236" t="str">
        <f ca="1">IF(ISERROR($V117),"",OFFSET('Smelter Look-up'!$C$4,$V117-4,0)&amp;"")</f>
        <v/>
      </c>
      <c r="S117" s="250" t="str">
        <f t="shared" ca="1" si="3"/>
        <v>CN</v>
      </c>
      <c r="T117" s="250" t="str">
        <f ca="1">IF(B117="","",IF(ISERROR(MATCH($J117,SorP!$B$1:$B$6230,0)),"",INDIRECT("'SorP'!$A$"&amp;MATCH($J117,SorP!$B$1:$B$6230,0))))</f>
        <v/>
      </c>
      <c r="U117" s="280"/>
      <c r="V117" s="281">
        <f>IF(C117="",NA(),MATCH($B117&amp;$C117,'Smelter Look-up'!$J:$J,0))</f>
        <v>280</v>
      </c>
      <c r="W117" s="282"/>
      <c r="X117" s="282">
        <f t="shared" si="4"/>
        <v>0</v>
      </c>
      <c r="Y117" s="282"/>
      <c r="Z117" s="282"/>
      <c r="AB117" s="284" t="str">
        <f t="shared" si="5"/>
        <v>GoldSmelter not listed</v>
      </c>
    </row>
    <row r="118" spans="1:28" s="283" customFormat="1" ht="25.15" customHeight="1">
      <c r="A118" s="235" t="s">
        <v>829</v>
      </c>
      <c r="B118" s="236" t="s">
        <v>1263</v>
      </c>
      <c r="C118" s="242" t="s">
        <v>1042</v>
      </c>
      <c r="D118" s="236"/>
      <c r="E118" s="236" t="s">
        <v>1011</v>
      </c>
      <c r="F118" s="236" t="s">
        <v>829</v>
      </c>
      <c r="G118" s="236" t="s">
        <v>14672</v>
      </c>
      <c r="H118" s="237"/>
      <c r="I118" s="238" t="s">
        <v>1937</v>
      </c>
      <c r="J118" s="347" t="s">
        <v>11107</v>
      </c>
      <c r="K118" s="345"/>
      <c r="L118" s="240"/>
      <c r="M118" s="240"/>
      <c r="N118" s="240"/>
      <c r="O118" s="240"/>
      <c r="P118" s="239" t="s">
        <v>15440</v>
      </c>
      <c r="Q118" s="241"/>
      <c r="R118" s="236" t="str">
        <f ca="1">IF(ISERROR($V118),"",OFFSET('Smelter Look-up'!$C$4,$V118-4,0)&amp;"")</f>
        <v>SOE Shyolkovsky Factory of Secondary Precious Metals</v>
      </c>
      <c r="S118" s="250" t="str">
        <f t="shared" ca="1" si="3"/>
        <v>RU</v>
      </c>
      <c r="T118" s="250" t="str">
        <f ca="1">IF(B118="","",IF(ISERROR(MATCH($J118,SorP!$B$1:$B$6230,0)),"",INDIRECT("'SorP'!$A$"&amp;MATCH($J118,SorP!$B$1:$B$6230,0))))</f>
        <v>RU-MOS</v>
      </c>
      <c r="U118" s="280"/>
      <c r="V118" s="281">
        <f>IF(C118="",NA(),MATCH($B118&amp;$C118,'Smelter Look-up'!$J:$J,0))</f>
        <v>220</v>
      </c>
      <c r="W118" s="282"/>
      <c r="X118" s="282">
        <f t="shared" si="4"/>
        <v>0</v>
      </c>
      <c r="Y118" s="282"/>
      <c r="Z118" s="282"/>
      <c r="AB118" s="284" t="str">
        <f t="shared" si="5"/>
        <v>GoldSOE Shyolkovsky Factory of Secondary Precious Metals</v>
      </c>
    </row>
    <row r="119" spans="1:28" s="283" customFormat="1" ht="25.15" customHeight="1">
      <c r="A119" s="235" t="s">
        <v>830</v>
      </c>
      <c r="B119" s="236" t="s">
        <v>1263</v>
      </c>
      <c r="C119" s="242" t="s">
        <v>1043</v>
      </c>
      <c r="D119" s="236"/>
      <c r="E119" s="236" t="s">
        <v>3152</v>
      </c>
      <c r="F119" s="236" t="s">
        <v>830</v>
      </c>
      <c r="G119" s="236" t="s">
        <v>14672</v>
      </c>
      <c r="H119" s="237"/>
      <c r="I119" s="238" t="s">
        <v>1938</v>
      </c>
      <c r="J119" s="238" t="s">
        <v>12662</v>
      </c>
      <c r="K119" s="240"/>
      <c r="L119" s="240"/>
      <c r="M119" s="240"/>
      <c r="N119" s="240"/>
      <c r="O119" s="240"/>
      <c r="P119" s="239" t="s">
        <v>15440</v>
      </c>
      <c r="Q119" s="241"/>
      <c r="R119" s="236" t="str">
        <f ca="1">IF(ISERROR($V119),"",OFFSET('Smelter Look-up'!$C$4,$V119-4,0)&amp;"")</f>
        <v>Solar Applied Materials Technology Corp.</v>
      </c>
      <c r="S119" s="250" t="str">
        <f t="shared" ca="1" si="3"/>
        <v>TW</v>
      </c>
      <c r="T119" s="250" t="str">
        <f ca="1">IF(B119="","",IF(ISERROR(MATCH($J119,SorP!$B$1:$B$6230,0)),"",INDIRECT("'SorP'!$A$"&amp;MATCH($J119,SorP!$B$1:$B$6230,0))))</f>
        <v>TW-TNN</v>
      </c>
      <c r="U119" s="280"/>
      <c r="V119" s="281">
        <f>IF(C119="",NA(),MATCH($B119&amp;$C119,'Smelter Look-up'!$J:$J,0))</f>
        <v>221</v>
      </c>
      <c r="W119" s="282"/>
      <c r="X119" s="282">
        <f t="shared" si="4"/>
        <v>0</v>
      </c>
      <c r="Y119" s="282"/>
      <c r="Z119" s="282"/>
      <c r="AB119" s="284" t="str">
        <f t="shared" si="5"/>
        <v>GoldSolar Applied Materials Technology Corp.</v>
      </c>
    </row>
    <row r="120" spans="1:28" s="283" customFormat="1" ht="25.15" customHeight="1">
      <c r="A120" s="235" t="s">
        <v>3277</v>
      </c>
      <c r="B120" s="236" t="s">
        <v>1263</v>
      </c>
      <c r="C120" s="242" t="s">
        <v>3276</v>
      </c>
      <c r="D120" s="236"/>
      <c r="E120" s="236" t="s">
        <v>1245</v>
      </c>
      <c r="F120" s="236" t="s">
        <v>3277</v>
      </c>
      <c r="G120" s="236" t="s">
        <v>14672</v>
      </c>
      <c r="H120" s="237"/>
      <c r="I120" s="238" t="s">
        <v>3278</v>
      </c>
      <c r="J120" s="238" t="s">
        <v>3278</v>
      </c>
      <c r="K120" s="240"/>
      <c r="L120" s="240"/>
      <c r="M120" s="240"/>
      <c r="N120" s="240"/>
      <c r="O120" s="240"/>
      <c r="P120" s="239" t="s">
        <v>15440</v>
      </c>
      <c r="Q120" s="241"/>
      <c r="R120" s="236" t="str">
        <f ca="1">IF(ISERROR($V120),"",OFFSET('Smelter Look-up'!$C$4,$V120-4,0)&amp;"")</f>
        <v>State Research Institute Center for Physical Sciences and Technology</v>
      </c>
      <c r="S120" s="250" t="str">
        <f t="shared" ca="1" si="3"/>
        <v>LT</v>
      </c>
      <c r="T120" s="250" t="str">
        <f ca="1">IF(B120="","",IF(ISERROR(MATCH($J120,SorP!$B$1:$B$6230,0)),"",INDIRECT("'SorP'!$A$"&amp;MATCH($J120,SorP!$B$1:$B$6230,0))))</f>
        <v>LT-58</v>
      </c>
      <c r="U120" s="280"/>
      <c r="V120" s="281">
        <f>IF(C120="",NA(),MATCH($B120&amp;$C120,'Smelter Look-up'!$J:$J,0))</f>
        <v>224</v>
      </c>
      <c r="W120" s="282"/>
      <c r="X120" s="282">
        <f t="shared" si="4"/>
        <v>0</v>
      </c>
      <c r="Y120" s="282"/>
      <c r="Z120" s="282"/>
      <c r="AB120" s="284" t="str">
        <f t="shared" si="5"/>
        <v>GoldState Research Institute Center for Physical Sciences and Technology</v>
      </c>
    </row>
    <row r="121" spans="1:28" s="283" customFormat="1" ht="25.15" customHeight="1">
      <c r="A121" s="235" t="s">
        <v>831</v>
      </c>
      <c r="B121" s="236" t="s">
        <v>1263</v>
      </c>
      <c r="C121" s="242" t="s">
        <v>66</v>
      </c>
      <c r="D121" s="236"/>
      <c r="E121" s="236" t="s">
        <v>1241</v>
      </c>
      <c r="F121" s="236" t="s">
        <v>831</v>
      </c>
      <c r="G121" s="236" t="s">
        <v>14672</v>
      </c>
      <c r="H121" s="237"/>
      <c r="I121" s="238" t="s">
        <v>1939</v>
      </c>
      <c r="J121" s="238" t="s">
        <v>2702</v>
      </c>
      <c r="K121" s="240"/>
      <c r="L121" s="240"/>
      <c r="M121" s="240"/>
      <c r="N121" s="240"/>
      <c r="O121" s="240"/>
      <c r="P121" s="239" t="s">
        <v>15440</v>
      </c>
      <c r="Q121" s="241"/>
      <c r="R121" s="236" t="str">
        <f ca="1">IF(ISERROR($V121),"",OFFSET('Smelter Look-up'!$C$4,$V121-4,0)&amp;"")</f>
        <v>Sumitomo Metal Mining Co., Ltd.</v>
      </c>
      <c r="S121" s="250" t="str">
        <f t="shared" ca="1" si="3"/>
        <v>JP</v>
      </c>
      <c r="T121" s="250" t="str">
        <f ca="1">IF(B121="","",IF(ISERROR(MATCH($J121,SorP!$B$1:$B$6230,0)),"",INDIRECT("'SorP'!$A$"&amp;MATCH($J121,SorP!$B$1:$B$6230,0))))</f>
        <v>JP-38</v>
      </c>
      <c r="U121" s="280"/>
      <c r="V121" s="281">
        <f>IF(C121="",NA(),MATCH($B121&amp;$C121,'Smelter Look-up'!$J:$J,0))</f>
        <v>227</v>
      </c>
      <c r="W121" s="282"/>
      <c r="X121" s="282">
        <f t="shared" si="4"/>
        <v>0</v>
      </c>
      <c r="Y121" s="282"/>
      <c r="Z121" s="282"/>
      <c r="AB121" s="284" t="str">
        <f t="shared" si="5"/>
        <v>GoldSumitomo Metal Mining Co., Ltd.</v>
      </c>
    </row>
    <row r="122" spans="1:28" s="283" customFormat="1" ht="25.15" customHeight="1">
      <c r="A122" s="235" t="s">
        <v>3181</v>
      </c>
      <c r="B122" s="236" t="s">
        <v>1263</v>
      </c>
      <c r="C122" s="242" t="s">
        <v>14305</v>
      </c>
      <c r="D122" s="236"/>
      <c r="E122" s="236" t="s">
        <v>1244</v>
      </c>
      <c r="F122" s="236" t="s">
        <v>3181</v>
      </c>
      <c r="G122" s="236" t="s">
        <v>14672</v>
      </c>
      <c r="H122" s="237"/>
      <c r="I122" s="238" t="s">
        <v>14326</v>
      </c>
      <c r="J122" s="238" t="s">
        <v>14243</v>
      </c>
      <c r="K122" s="240"/>
      <c r="L122" s="240"/>
      <c r="M122" s="240"/>
      <c r="N122" s="240"/>
      <c r="O122" s="240"/>
      <c r="P122" s="239" t="s">
        <v>15440</v>
      </c>
      <c r="Q122" s="241"/>
      <c r="R122" s="236" t="str">
        <f ca="1">IF(ISERROR($V122),"",OFFSET('Smelter Look-up'!$C$4,$V122-4,0)&amp;"")</f>
        <v>SungEel HiMetal Co., Ltd.</v>
      </c>
      <c r="S122" s="250" t="str">
        <f t="shared" ca="1" si="3"/>
        <v>KR</v>
      </c>
      <c r="T122" s="250" t="str">
        <f ca="1">IF(B122="","",IF(ISERROR(MATCH($J122,SorP!$B$1:$B$6230,0)),"",INDIRECT("'SorP'!$A$"&amp;MATCH($J122,SorP!$B$1:$B$6230,0))))</f>
        <v>KR-45</v>
      </c>
      <c r="U122" s="280"/>
      <c r="V122" s="281">
        <f>IF(C122="",NA(),MATCH($B122&amp;$C122,'Smelter Look-up'!$J:$J,0))</f>
        <v>228</v>
      </c>
      <c r="W122" s="282"/>
      <c r="X122" s="282">
        <f t="shared" si="4"/>
        <v>0</v>
      </c>
      <c r="Y122" s="282"/>
      <c r="Z122" s="282"/>
      <c r="AB122" s="284" t="str">
        <f t="shared" si="5"/>
        <v>GoldSungEel HiMetal Co., Ltd.</v>
      </c>
    </row>
    <row r="123" spans="1:28" s="283" customFormat="1" ht="25.15" customHeight="1">
      <c r="A123" s="235" t="s">
        <v>1998</v>
      </c>
      <c r="B123" s="236" t="s">
        <v>1263</v>
      </c>
      <c r="C123" s="242" t="s">
        <v>2708</v>
      </c>
      <c r="D123" s="236"/>
      <c r="E123" s="236" t="s">
        <v>1240</v>
      </c>
      <c r="F123" s="236" t="s">
        <v>1998</v>
      </c>
      <c r="G123" s="236" t="s">
        <v>14672</v>
      </c>
      <c r="H123" s="237"/>
      <c r="I123" s="238" t="s">
        <v>1999</v>
      </c>
      <c r="J123" s="238" t="s">
        <v>7391</v>
      </c>
      <c r="K123" s="240"/>
      <c r="L123" s="240"/>
      <c r="M123" s="240"/>
      <c r="N123" s="240"/>
      <c r="O123" s="240"/>
      <c r="P123" s="239" t="s">
        <v>15440</v>
      </c>
      <c r="Q123" s="241"/>
      <c r="R123" s="236" t="str">
        <f ca="1">IF(ISERROR($V123),"",OFFSET('Smelter Look-up'!$C$4,$V123-4,0)&amp;"")</f>
        <v>T.C.A S.p.A</v>
      </c>
      <c r="S123" s="250" t="str">
        <f t="shared" ref="S123:S186" ca="1" si="6">IF(B123="","",IF(ISERROR(MATCH($E123,CL,0)),"Unknown",INDIRECT("'C'!$A$"&amp;MATCH($E123,CL,0)+1)))</f>
        <v>IT</v>
      </c>
      <c r="T123" s="250" t="str">
        <f ca="1">IF(B123="","",IF(ISERROR(MATCH($J123,SorP!$B$1:$B$6230,0)),"",INDIRECT("'SorP'!$A$"&amp;MATCH($J123,SorP!$B$1:$B$6230,0))))</f>
        <v>IT-52</v>
      </c>
      <c r="U123" s="280"/>
      <c r="V123" s="281">
        <f>IF(C123="",NA(),MATCH($B123&amp;$C123,'Smelter Look-up'!$J:$J,0))</f>
        <v>230</v>
      </c>
      <c r="W123" s="282"/>
      <c r="X123" s="282">
        <f t="shared" ref="X123:X186" si="7">IF(AND(C123="Smelter not listed",OR(LEN(D123)=0,LEN(E123)=0)),1,0)</f>
        <v>0</v>
      </c>
      <c r="Y123" s="282"/>
      <c r="Z123" s="282"/>
      <c r="AB123" s="284" t="str">
        <f t="shared" ref="AB123:AB186" si="8">B123&amp;C123</f>
        <v>GoldT.C.A S.p.A</v>
      </c>
    </row>
    <row r="124" spans="1:28" s="283" customFormat="1" ht="25.15" customHeight="1">
      <c r="A124" s="235" t="s">
        <v>832</v>
      </c>
      <c r="B124" s="236" t="s">
        <v>1263</v>
      </c>
      <c r="C124" s="242" t="s">
        <v>1374</v>
      </c>
      <c r="D124" s="236"/>
      <c r="E124" s="236" t="s">
        <v>1241</v>
      </c>
      <c r="F124" s="236" t="s">
        <v>832</v>
      </c>
      <c r="G124" s="236" t="s">
        <v>14672</v>
      </c>
      <c r="H124" s="237"/>
      <c r="I124" s="238" t="s">
        <v>1941</v>
      </c>
      <c r="J124" s="238" t="s">
        <v>1942</v>
      </c>
      <c r="K124" s="240"/>
      <c r="L124" s="240"/>
      <c r="M124" s="240"/>
      <c r="N124" s="240"/>
      <c r="O124" s="240"/>
      <c r="P124" s="239" t="s">
        <v>15440</v>
      </c>
      <c r="Q124" s="241"/>
      <c r="R124" s="236" t="str">
        <f ca="1">IF(ISERROR($V124),"",OFFSET('Smelter Look-up'!$C$4,$V124-4,0)&amp;"")</f>
        <v>Tanaka Kikinzoku Kogyo K.K.</v>
      </c>
      <c r="S124" s="250" t="str">
        <f t="shared" ca="1" si="6"/>
        <v>JP</v>
      </c>
      <c r="T124" s="250" t="str">
        <f ca="1">IF(B124="","",IF(ISERROR(MATCH($J124,SorP!$B$1:$B$6230,0)),"",INDIRECT("'SorP'!$A$"&amp;MATCH($J124,SorP!$B$1:$B$6230,0))))</f>
        <v>JP-14</v>
      </c>
      <c r="U124" s="280"/>
      <c r="V124" s="281">
        <f>IF(C124="",NA(),MATCH($B124&amp;$C124,'Smelter Look-up'!$J:$J,0))</f>
        <v>239</v>
      </c>
      <c r="W124" s="282"/>
      <c r="X124" s="282">
        <f t="shared" si="7"/>
        <v>0</v>
      </c>
      <c r="Y124" s="282"/>
      <c r="Z124" s="282"/>
      <c r="AB124" s="284" t="str">
        <f t="shared" si="8"/>
        <v>GoldTanaka Kikinzoku Kogyo K.K.</v>
      </c>
    </row>
    <row r="125" spans="1:28" s="283" customFormat="1" ht="25.15" customHeight="1">
      <c r="A125" s="235" t="s">
        <v>834</v>
      </c>
      <c r="B125" s="236" t="s">
        <v>1263</v>
      </c>
      <c r="C125" s="242" t="s">
        <v>2626</v>
      </c>
      <c r="D125" s="236"/>
      <c r="E125" s="236" t="s">
        <v>1232</v>
      </c>
      <c r="F125" s="236" t="s">
        <v>834</v>
      </c>
      <c r="G125" s="236" t="s">
        <v>14672</v>
      </c>
      <c r="H125" s="237"/>
      <c r="I125" s="238" t="s">
        <v>1931</v>
      </c>
      <c r="J125" s="238" t="s">
        <v>1914</v>
      </c>
      <c r="K125" s="240"/>
      <c r="L125" s="240"/>
      <c r="M125" s="240"/>
      <c r="N125" s="240"/>
      <c r="O125" s="240"/>
      <c r="P125" s="239" t="s">
        <v>15440</v>
      </c>
      <c r="Q125" s="241"/>
      <c r="R125" s="236" t="str">
        <f ca="1">IF(ISERROR($V125),"",OFFSET('Smelter Look-up'!$C$4,$V125-4,0)&amp;"")</f>
        <v>The Refinery of Shandong Gold Mining Co., Ltd.</v>
      </c>
      <c r="S125" s="250" t="str">
        <f t="shared" ca="1" si="6"/>
        <v>CN</v>
      </c>
      <c r="T125" s="250" t="str">
        <f ca="1">IF(B125="","",IF(ISERROR(MATCH($J125,SorP!$B$1:$B$6230,0)),"",INDIRECT("'SorP'!$A$"&amp;MATCH($J125,SorP!$B$1:$B$6230,0))))</f>
        <v>CN-37</v>
      </c>
      <c r="U125" s="280"/>
      <c r="V125" s="281">
        <f>IF(C125="",NA(),MATCH($B125&amp;$C125,'Smelter Look-up'!$J:$J,0))</f>
        <v>243</v>
      </c>
      <c r="W125" s="282"/>
      <c r="X125" s="282">
        <f t="shared" si="7"/>
        <v>0</v>
      </c>
      <c r="Y125" s="282"/>
      <c r="Z125" s="282"/>
      <c r="AB125" s="284" t="str">
        <f t="shared" si="8"/>
        <v>GoldThe Refinery of Shandong Gold Mining Co., Ltd.</v>
      </c>
    </row>
    <row r="126" spans="1:28" s="283" customFormat="1" ht="25.15" customHeight="1">
      <c r="A126" s="235" t="s">
        <v>835</v>
      </c>
      <c r="B126" s="236" t="s">
        <v>1263</v>
      </c>
      <c r="C126" s="242" t="s">
        <v>2627</v>
      </c>
      <c r="D126" s="236"/>
      <c r="E126" s="236" t="s">
        <v>1241</v>
      </c>
      <c r="F126" s="236" t="s">
        <v>835</v>
      </c>
      <c r="G126" s="236" t="s">
        <v>14672</v>
      </c>
      <c r="H126" s="237"/>
      <c r="I126" s="238" t="s">
        <v>1947</v>
      </c>
      <c r="J126" s="238" t="s">
        <v>1844</v>
      </c>
      <c r="K126" s="240"/>
      <c r="L126" s="240"/>
      <c r="M126" s="240"/>
      <c r="N126" s="240"/>
      <c r="O126" s="240"/>
      <c r="P126" s="239" t="s">
        <v>15440</v>
      </c>
      <c r="Q126" s="241"/>
      <c r="R126" s="236" t="str">
        <f ca="1">IF(ISERROR($V126),"",OFFSET('Smelter Look-up'!$C$4,$V126-4,0)&amp;"")</f>
        <v>Tokuriki Honten Co., Ltd.</v>
      </c>
      <c r="S126" s="250" t="str">
        <f t="shared" ca="1" si="6"/>
        <v>JP</v>
      </c>
      <c r="T126" s="250" t="str">
        <f ca="1">IF(B126="","",IF(ISERROR(MATCH($J126,SorP!$B$1:$B$6230,0)),"",INDIRECT("'SorP'!$A$"&amp;MATCH($J126,SorP!$B$1:$B$6230,0))))</f>
        <v>JP-11</v>
      </c>
      <c r="U126" s="280"/>
      <c r="V126" s="281">
        <f>IF(C126="",NA(),MATCH($B126&amp;$C126,'Smelter Look-up'!$J:$J,0))</f>
        <v>244</v>
      </c>
      <c r="W126" s="282"/>
      <c r="X126" s="282">
        <f t="shared" si="7"/>
        <v>0</v>
      </c>
      <c r="Y126" s="282"/>
      <c r="Z126" s="282"/>
      <c r="AB126" s="284" t="str">
        <f t="shared" si="8"/>
        <v>GoldTokuriki Honten Co., Ltd.</v>
      </c>
    </row>
    <row r="127" spans="1:28" s="283" customFormat="1" ht="25.15" customHeight="1">
      <c r="A127" s="235" t="s">
        <v>836</v>
      </c>
      <c r="B127" s="236" t="s">
        <v>1263</v>
      </c>
      <c r="C127" s="242" t="s">
        <v>2679</v>
      </c>
      <c r="D127" s="236"/>
      <c r="E127" s="236" t="s">
        <v>1232</v>
      </c>
      <c r="F127" s="236" t="s">
        <v>836</v>
      </c>
      <c r="G127" s="236" t="s">
        <v>14672</v>
      </c>
      <c r="H127" s="237"/>
      <c r="I127" s="238" t="s">
        <v>1948</v>
      </c>
      <c r="J127" s="238" t="s">
        <v>1949</v>
      </c>
      <c r="K127" s="240"/>
      <c r="L127" s="240"/>
      <c r="M127" s="240"/>
      <c r="N127" s="240"/>
      <c r="O127" s="240"/>
      <c r="P127" s="239" t="s">
        <v>15440</v>
      </c>
      <c r="Q127" s="241"/>
      <c r="R127" s="236" t="str">
        <f ca="1">IF(ISERROR($V127),"",OFFSET('Smelter Look-up'!$C$4,$V127-4,0)&amp;"")</f>
        <v>Tongling Nonferrous Metals Group Co., Ltd.</v>
      </c>
      <c r="S127" s="250" t="str">
        <f t="shared" ca="1" si="6"/>
        <v>CN</v>
      </c>
      <c r="T127" s="250" t="str">
        <f ca="1">IF(B127="","",IF(ISERROR(MATCH($J127,SorP!$B$1:$B$6230,0)),"",INDIRECT("'SorP'!$A$"&amp;MATCH($J127,SorP!$B$1:$B$6230,0))))</f>
        <v>CN-34</v>
      </c>
      <c r="U127" s="280"/>
      <c r="V127" s="281">
        <f>IF(C127="",NA(),MATCH($B127&amp;$C127,'Smelter Look-up'!$J:$J,0))</f>
        <v>245</v>
      </c>
      <c r="W127" s="282"/>
      <c r="X127" s="282">
        <f t="shared" si="7"/>
        <v>0</v>
      </c>
      <c r="Y127" s="282"/>
      <c r="Z127" s="282"/>
      <c r="AB127" s="284" t="str">
        <f t="shared" si="8"/>
        <v>GoldTongling Nonferrous Metals Group Co., Ltd.</v>
      </c>
    </row>
    <row r="128" spans="1:28" s="283" customFormat="1" ht="25.15" customHeight="1">
      <c r="A128" s="235" t="s">
        <v>3012</v>
      </c>
      <c r="B128" s="236" t="s">
        <v>1263</v>
      </c>
      <c r="C128" s="242" t="s">
        <v>3011</v>
      </c>
      <c r="D128" s="236"/>
      <c r="E128" s="236" t="s">
        <v>1242</v>
      </c>
      <c r="F128" s="236" t="s">
        <v>3012</v>
      </c>
      <c r="G128" s="236" t="s">
        <v>14672</v>
      </c>
      <c r="H128" s="237"/>
      <c r="I128" s="238" t="s">
        <v>3013</v>
      </c>
      <c r="J128" s="238" t="s">
        <v>3014</v>
      </c>
      <c r="K128" s="240"/>
      <c r="L128" s="240"/>
      <c r="M128" s="240"/>
      <c r="N128" s="240"/>
      <c r="O128" s="240"/>
      <c r="P128" s="239" t="s">
        <v>15440</v>
      </c>
      <c r="Q128" s="241"/>
      <c r="R128" s="236" t="str">
        <f ca="1">IF(ISERROR($V128),"",OFFSET('Smelter Look-up'!$C$4,$V128-4,0)&amp;"")</f>
        <v>TOO Tau-Ken-Altyn</v>
      </c>
      <c r="S128" s="250" t="str">
        <f t="shared" ca="1" si="6"/>
        <v>KZ</v>
      </c>
      <c r="T128" s="250" t="str">
        <f ca="1">IF(B128="","",IF(ISERROR(MATCH($J128,SorP!$B$1:$B$6230,0)),"",INDIRECT("'SorP'!$A$"&amp;MATCH($J128,SorP!$B$1:$B$6230,0))))</f>
        <v>KZ-ALA</v>
      </c>
      <c r="U128" s="280"/>
      <c r="V128" s="281">
        <f>IF(C128="",NA(),MATCH($B128&amp;$C128,'Smelter Look-up'!$J:$J,0))</f>
        <v>248</v>
      </c>
      <c r="W128" s="282"/>
      <c r="X128" s="282">
        <f t="shared" si="7"/>
        <v>0</v>
      </c>
      <c r="Y128" s="282"/>
      <c r="Z128" s="282"/>
      <c r="AB128" s="284" t="str">
        <f t="shared" si="8"/>
        <v>GoldTOO Tau-Ken-Altyn</v>
      </c>
    </row>
    <row r="129" spans="1:28" s="283" customFormat="1" ht="25.15" customHeight="1">
      <c r="A129" s="235" t="s">
        <v>837</v>
      </c>
      <c r="B129" s="236" t="s">
        <v>1263</v>
      </c>
      <c r="C129" s="242" t="s">
        <v>700</v>
      </c>
      <c r="D129" s="236"/>
      <c r="E129" s="236" t="s">
        <v>1244</v>
      </c>
      <c r="F129" s="236" t="s">
        <v>837</v>
      </c>
      <c r="G129" s="236" t="s">
        <v>14672</v>
      </c>
      <c r="H129" s="237"/>
      <c r="I129" s="238" t="s">
        <v>1952</v>
      </c>
      <c r="J129" s="347" t="s">
        <v>14238</v>
      </c>
      <c r="K129" s="345"/>
      <c r="L129" s="240"/>
      <c r="M129" s="240"/>
      <c r="N129" s="240"/>
      <c r="O129" s="240"/>
      <c r="P129" s="239" t="s">
        <v>15440</v>
      </c>
      <c r="Q129" s="241"/>
      <c r="R129" s="236" t="str">
        <f ca="1">IF(ISERROR($V129),"",OFFSET('Smelter Look-up'!$C$4,$V129-4,0)&amp;"")</f>
        <v>Torecom</v>
      </c>
      <c r="S129" s="250" t="str">
        <f t="shared" ca="1" si="6"/>
        <v>KR</v>
      </c>
      <c r="T129" s="250" t="str">
        <f ca="1">IF(B129="","",IF(ISERROR(MATCH($J129,SorP!$B$1:$B$6230,0)),"",INDIRECT("'SorP'!$A$"&amp;MATCH($J129,SorP!$B$1:$B$6230,0))))</f>
        <v>KR-44</v>
      </c>
      <c r="U129" s="280"/>
      <c r="V129" s="281">
        <f>IF(C129="",NA(),MATCH($B129&amp;$C129,'Smelter Look-up'!$J:$J,0))</f>
        <v>249</v>
      </c>
      <c r="W129" s="282"/>
      <c r="X129" s="282">
        <f t="shared" si="7"/>
        <v>0</v>
      </c>
      <c r="Y129" s="282"/>
      <c r="Z129" s="282"/>
      <c r="AB129" s="284" t="str">
        <f t="shared" si="8"/>
        <v>GoldTorecom</v>
      </c>
    </row>
    <row r="130" spans="1:28" s="283" customFormat="1" ht="25.15" customHeight="1">
      <c r="A130" s="235" t="s">
        <v>838</v>
      </c>
      <c r="B130" s="236" t="s">
        <v>1263</v>
      </c>
      <c r="C130" s="242" t="s">
        <v>2628</v>
      </c>
      <c r="D130" s="236"/>
      <c r="E130" s="236" t="s">
        <v>1228</v>
      </c>
      <c r="F130" s="236" t="s">
        <v>838</v>
      </c>
      <c r="G130" s="236" t="s">
        <v>14672</v>
      </c>
      <c r="H130" s="237"/>
      <c r="I130" s="238" t="s">
        <v>1953</v>
      </c>
      <c r="J130" s="238" t="s">
        <v>1954</v>
      </c>
      <c r="K130" s="240"/>
      <c r="L130" s="240"/>
      <c r="M130" s="240"/>
      <c r="N130" s="240"/>
      <c r="O130" s="240"/>
      <c r="P130" s="239" t="s">
        <v>15440</v>
      </c>
      <c r="Q130" s="241"/>
      <c r="R130" s="236" t="str">
        <f ca="1">IF(ISERROR($V130),"",OFFSET('Smelter Look-up'!$C$4,$V130-4,0)&amp;"")</f>
        <v>Umicore Brasil Ltda.</v>
      </c>
      <c r="S130" s="250" t="str">
        <f t="shared" ca="1" si="6"/>
        <v>BR</v>
      </c>
      <c r="T130" s="250" t="str">
        <f ca="1">IF(B130="","",IF(ISERROR(MATCH($J130,SorP!$B$1:$B$6230,0)),"",INDIRECT("'SorP'!$A$"&amp;MATCH($J130,SorP!$B$1:$B$6230,0))))</f>
        <v>BR-SP</v>
      </c>
      <c r="U130" s="280"/>
      <c r="V130" s="281">
        <f>IF(C130="",NA(),MATCH($B130&amp;$C130,'Smelter Look-up'!$J:$J,0))</f>
        <v>251</v>
      </c>
      <c r="W130" s="282"/>
      <c r="X130" s="282">
        <f t="shared" si="7"/>
        <v>0</v>
      </c>
      <c r="Y130" s="282"/>
      <c r="Z130" s="282"/>
      <c r="AB130" s="284" t="str">
        <f t="shared" si="8"/>
        <v>GoldUmicore Brasil Ltda.</v>
      </c>
    </row>
    <row r="131" spans="1:28" s="283" customFormat="1" ht="25.15" customHeight="1">
      <c r="A131" s="235" t="s">
        <v>162</v>
      </c>
      <c r="B131" s="236" t="s">
        <v>1263</v>
      </c>
      <c r="C131" s="242" t="s">
        <v>161</v>
      </c>
      <c r="D131" s="236"/>
      <c r="E131" s="236" t="s">
        <v>1016</v>
      </c>
      <c r="F131" s="236" t="s">
        <v>162</v>
      </c>
      <c r="G131" s="236" t="s">
        <v>14672</v>
      </c>
      <c r="H131" s="237"/>
      <c r="I131" s="238" t="s">
        <v>13572</v>
      </c>
      <c r="J131" s="347" t="s">
        <v>12204</v>
      </c>
      <c r="K131" s="345"/>
      <c r="L131" s="240"/>
      <c r="M131" s="240"/>
      <c r="N131" s="240"/>
      <c r="O131" s="240"/>
      <c r="P131" s="239" t="s">
        <v>15440</v>
      </c>
      <c r="Q131" s="241"/>
      <c r="R131" s="236" t="str">
        <f ca="1">IF(ISERROR($V131),"",OFFSET('Smelter Look-up'!$C$4,$V131-4,0)&amp;"")</f>
        <v>Umicore Precious Metals Thailand</v>
      </c>
      <c r="S131" s="250" t="str">
        <f t="shared" ca="1" si="6"/>
        <v>TH</v>
      </c>
      <c r="T131" s="250" t="str">
        <f ca="1">IF(B131="","",IF(ISERROR(MATCH($J131,SorP!$B$1:$B$6230,0)),"",INDIRECT("'SorP'!$A$"&amp;MATCH($J131,SorP!$B$1:$B$6230,0))))</f>
        <v>TH-10</v>
      </c>
      <c r="U131" s="280"/>
      <c r="V131" s="281">
        <f>IF(C131="",NA(),MATCH($B131&amp;$C131,'Smelter Look-up'!$J:$J,0))</f>
        <v>253</v>
      </c>
      <c r="W131" s="282"/>
      <c r="X131" s="282">
        <f t="shared" si="7"/>
        <v>0</v>
      </c>
      <c r="Y131" s="282"/>
      <c r="Z131" s="282"/>
      <c r="AB131" s="284" t="str">
        <f t="shared" si="8"/>
        <v>GoldUmicore Precious Metals Thailand</v>
      </c>
    </row>
    <row r="132" spans="1:28" s="283" customFormat="1" ht="25.15" customHeight="1">
      <c r="A132" s="235" t="s">
        <v>839</v>
      </c>
      <c r="B132" s="236" t="s">
        <v>1263</v>
      </c>
      <c r="C132" s="242" t="s">
        <v>3015</v>
      </c>
      <c r="D132" s="236"/>
      <c r="E132" s="236" t="s">
        <v>1227</v>
      </c>
      <c r="F132" s="236" t="s">
        <v>839</v>
      </c>
      <c r="G132" s="236" t="s">
        <v>14672</v>
      </c>
      <c r="H132" s="237"/>
      <c r="I132" s="238" t="s">
        <v>1955</v>
      </c>
      <c r="J132" s="238" t="s">
        <v>3919</v>
      </c>
      <c r="K132" s="240"/>
      <c r="L132" s="240"/>
      <c r="M132" s="240"/>
      <c r="N132" s="240"/>
      <c r="O132" s="240"/>
      <c r="P132" s="239" t="s">
        <v>15440</v>
      </c>
      <c r="Q132" s="241"/>
      <c r="R132" s="236" t="str">
        <f ca="1">IF(ISERROR($V132),"",OFFSET('Smelter Look-up'!$C$4,$V132-4,0)&amp;"")</f>
        <v>Umicore S.A. Business Unit Precious Metals Refining</v>
      </c>
      <c r="S132" s="250" t="str">
        <f t="shared" ca="1" si="6"/>
        <v>BE</v>
      </c>
      <c r="T132" s="250" t="str">
        <f ca="1">IF(B132="","",IF(ISERROR(MATCH($J132,SorP!$B$1:$B$6230,0)),"",INDIRECT("'SorP'!$A$"&amp;MATCH($J132,SorP!$B$1:$B$6230,0))))</f>
        <v>BE-VAN</v>
      </c>
      <c r="U132" s="280"/>
      <c r="V132" s="281">
        <f>IF(C132="",NA(),MATCH($B132&amp;$C132,'Smelter Look-up'!$J:$J,0))</f>
        <v>254</v>
      </c>
      <c r="W132" s="282"/>
      <c r="X132" s="282">
        <f t="shared" si="7"/>
        <v>0</v>
      </c>
      <c r="Y132" s="282"/>
      <c r="Z132" s="282"/>
      <c r="AB132" s="284" t="str">
        <f t="shared" si="8"/>
        <v>GoldUmicore S.A. Business Unit Precious Metals Refining</v>
      </c>
    </row>
    <row r="133" spans="1:28" s="283" customFormat="1" ht="25.15" customHeight="1">
      <c r="A133" s="235" t="s">
        <v>840</v>
      </c>
      <c r="B133" s="236" t="s">
        <v>1263</v>
      </c>
      <c r="C133" s="242" t="s">
        <v>945</v>
      </c>
      <c r="D133" s="236"/>
      <c r="E133" s="236" t="s">
        <v>3153</v>
      </c>
      <c r="F133" s="236" t="s">
        <v>840</v>
      </c>
      <c r="G133" s="236" t="s">
        <v>14672</v>
      </c>
      <c r="H133" s="237"/>
      <c r="I133" s="238" t="s">
        <v>1957</v>
      </c>
      <c r="J133" s="238" t="s">
        <v>1887</v>
      </c>
      <c r="K133" s="240"/>
      <c r="L133" s="240"/>
      <c r="M133" s="240"/>
      <c r="N133" s="240"/>
      <c r="O133" s="240"/>
      <c r="P133" s="239" t="s">
        <v>15440</v>
      </c>
      <c r="Q133" s="241"/>
      <c r="R133" s="236" t="str">
        <f ca="1">IF(ISERROR($V133),"",OFFSET('Smelter Look-up'!$C$4,$V133-4,0)&amp;"")</f>
        <v>United Precious Metal Refining, Inc.</v>
      </c>
      <c r="S133" s="250" t="str">
        <f t="shared" ca="1" si="6"/>
        <v>US</v>
      </c>
      <c r="T133" s="250" t="str">
        <f ca="1">IF(B133="","",IF(ISERROR(MATCH($J133,SorP!$B$1:$B$6230,0)),"",INDIRECT("'SorP'!$A$"&amp;MATCH($J133,SorP!$B$1:$B$6230,0))))</f>
        <v>US-NY</v>
      </c>
      <c r="U133" s="280"/>
      <c r="V133" s="281">
        <f>IF(C133="",NA(),MATCH($B133&amp;$C133,'Smelter Look-up'!$J:$J,0))</f>
        <v>255</v>
      </c>
      <c r="W133" s="282"/>
      <c r="X133" s="282">
        <f t="shared" si="7"/>
        <v>0</v>
      </c>
      <c r="Y133" s="282"/>
      <c r="Z133" s="282"/>
      <c r="AB133" s="284" t="str">
        <f t="shared" si="8"/>
        <v>GoldUnited Precious Metal Refining, Inc.</v>
      </c>
    </row>
    <row r="134" spans="1:28" s="283" customFormat="1" ht="25.15" customHeight="1">
      <c r="A134" s="235" t="s">
        <v>841</v>
      </c>
      <c r="B134" s="236" t="s">
        <v>1263</v>
      </c>
      <c r="C134" s="242" t="s">
        <v>3019</v>
      </c>
      <c r="D134" s="236"/>
      <c r="E134" s="236" t="s">
        <v>1230</v>
      </c>
      <c r="F134" s="236" t="s">
        <v>841</v>
      </c>
      <c r="G134" s="236" t="s">
        <v>14672</v>
      </c>
      <c r="H134" s="237"/>
      <c r="I134" s="238" t="s">
        <v>1958</v>
      </c>
      <c r="J134" s="238" t="s">
        <v>1811</v>
      </c>
      <c r="K134" s="240"/>
      <c r="L134" s="240"/>
      <c r="M134" s="240"/>
      <c r="N134" s="240"/>
      <c r="O134" s="240"/>
      <c r="P134" s="239" t="s">
        <v>15440</v>
      </c>
      <c r="Q134" s="241"/>
      <c r="R134" s="236" t="str">
        <f ca="1">IF(ISERROR($V134),"",OFFSET('Smelter Look-up'!$C$4,$V134-4,0)&amp;"")</f>
        <v>Valcambi S.A.</v>
      </c>
      <c r="S134" s="250" t="str">
        <f t="shared" ca="1" si="6"/>
        <v>CH</v>
      </c>
      <c r="T134" s="250" t="str">
        <f ca="1">IF(B134="","",IF(ISERROR(MATCH($J134,SorP!$B$1:$B$6230,0)),"",INDIRECT("'SorP'!$A$"&amp;MATCH($J134,SorP!$B$1:$B$6230,0))))</f>
        <v>CH-TI</v>
      </c>
      <c r="U134" s="280"/>
      <c r="V134" s="281">
        <f>IF(C134="",NA(),MATCH($B134&amp;$C134,'Smelter Look-up'!$J:$J,0))</f>
        <v>257</v>
      </c>
      <c r="W134" s="282"/>
      <c r="X134" s="282">
        <f t="shared" si="7"/>
        <v>0</v>
      </c>
      <c r="Y134" s="282"/>
      <c r="Z134" s="282"/>
      <c r="AB134" s="284" t="str">
        <f t="shared" si="8"/>
        <v>GoldValcambi S.A.</v>
      </c>
    </row>
    <row r="135" spans="1:28" s="283" customFormat="1" ht="25.15" customHeight="1">
      <c r="A135" s="235" t="s">
        <v>842</v>
      </c>
      <c r="B135" s="236" t="s">
        <v>1263</v>
      </c>
      <c r="C135" s="242" t="s">
        <v>3243</v>
      </c>
      <c r="D135" s="236"/>
      <c r="E135" s="236" t="s">
        <v>1225</v>
      </c>
      <c r="F135" s="236" t="s">
        <v>842</v>
      </c>
      <c r="G135" s="236" t="s">
        <v>14672</v>
      </c>
      <c r="H135" s="237"/>
      <c r="I135" s="238" t="s">
        <v>1959</v>
      </c>
      <c r="J135" s="347" t="s">
        <v>1960</v>
      </c>
      <c r="K135" s="345"/>
      <c r="L135" s="240"/>
      <c r="M135" s="240"/>
      <c r="N135" s="240"/>
      <c r="O135" s="240"/>
      <c r="P135" s="239" t="s">
        <v>15440</v>
      </c>
      <c r="Q135" s="241"/>
      <c r="R135" s="236" t="str">
        <f ca="1">IF(ISERROR($V135),"",OFFSET('Smelter Look-up'!$C$4,$V135-4,0)&amp;"")</f>
        <v>Western Australian Mint (T/a The Perth Mint)</v>
      </c>
      <c r="S135" s="250" t="str">
        <f t="shared" ca="1" si="6"/>
        <v>AU</v>
      </c>
      <c r="T135" s="250" t="str">
        <f ca="1">IF(B135="","",IF(ISERROR(MATCH($J135,SorP!$B$1:$B$6230,0)),"",INDIRECT("'SorP'!$A$"&amp;MATCH($J135,SorP!$B$1:$B$6230,0))))</f>
        <v>AU-WA</v>
      </c>
      <c r="U135" s="280"/>
      <c r="V135" s="281">
        <f>IF(C135="",NA(),MATCH($B135&amp;$C135,'Smelter Look-up'!$J:$J,0))</f>
        <v>258</v>
      </c>
      <c r="W135" s="282"/>
      <c r="X135" s="282">
        <f t="shared" si="7"/>
        <v>0</v>
      </c>
      <c r="Y135" s="282"/>
      <c r="Z135" s="282"/>
      <c r="AB135" s="284" t="str">
        <f t="shared" si="8"/>
        <v>GoldWestern Australian Mint (T/a The Perth Mint)</v>
      </c>
    </row>
    <row r="136" spans="1:28" s="283" customFormat="1" ht="25.15" customHeight="1">
      <c r="A136" s="235" t="s">
        <v>2692</v>
      </c>
      <c r="B136" s="236" t="s">
        <v>1263</v>
      </c>
      <c r="C136" s="242" t="s">
        <v>2689</v>
      </c>
      <c r="D136" s="236"/>
      <c r="E136" s="236" t="s">
        <v>1234</v>
      </c>
      <c r="F136" s="236" t="s">
        <v>2692</v>
      </c>
      <c r="G136" s="236" t="s">
        <v>14672</v>
      </c>
      <c r="H136" s="237"/>
      <c r="I136" s="238" t="s">
        <v>1804</v>
      </c>
      <c r="J136" s="347" t="s">
        <v>1805</v>
      </c>
      <c r="K136" s="345"/>
      <c r="L136" s="240"/>
      <c r="M136" s="240"/>
      <c r="N136" s="240"/>
      <c r="O136" s="240"/>
      <c r="P136" s="239" t="s">
        <v>15440</v>
      </c>
      <c r="Q136" s="241"/>
      <c r="R136" s="236" t="str">
        <f ca="1">IF(ISERROR($V136),"",OFFSET('Smelter Look-up'!$C$4,$V136-4,0)&amp;"")</f>
        <v>WIELAND Edelmetalle GmbH</v>
      </c>
      <c r="S136" s="250" t="str">
        <f t="shared" ca="1" si="6"/>
        <v>DE</v>
      </c>
      <c r="T136" s="250" t="str">
        <f ca="1">IF(B136="","",IF(ISERROR(MATCH($J136,SorP!$B$1:$B$6230,0)),"",INDIRECT("'SorP'!$A$"&amp;MATCH($J136,SorP!$B$1:$B$6230,0))))</f>
        <v>DE-BW</v>
      </c>
      <c r="U136" s="280"/>
      <c r="V136" s="281">
        <f>IF(C136="",NA(),MATCH($B136&amp;$C136,'Smelter Look-up'!$J:$J,0))</f>
        <v>259</v>
      </c>
      <c r="W136" s="282"/>
      <c r="X136" s="282">
        <f t="shared" si="7"/>
        <v>0</v>
      </c>
      <c r="Y136" s="282"/>
      <c r="Z136" s="282"/>
      <c r="AB136" s="284" t="str">
        <f t="shared" si="8"/>
        <v>GoldWIELAND Edelmetalle GmbH</v>
      </c>
    </row>
    <row r="137" spans="1:28" s="283" customFormat="1" ht="25.15" customHeight="1">
      <c r="A137" s="235" t="s">
        <v>843</v>
      </c>
      <c r="B137" s="236" t="s">
        <v>1263</v>
      </c>
      <c r="C137" s="242" t="s">
        <v>14306</v>
      </c>
      <c r="D137" s="236"/>
      <c r="E137" s="236" t="s">
        <v>1241</v>
      </c>
      <c r="F137" s="236" t="s">
        <v>843</v>
      </c>
      <c r="G137" s="236" t="s">
        <v>14672</v>
      </c>
      <c r="H137" s="237"/>
      <c r="I137" s="238" t="s">
        <v>14327</v>
      </c>
      <c r="J137" s="238" t="s">
        <v>7548</v>
      </c>
      <c r="K137" s="240"/>
      <c r="L137" s="240"/>
      <c r="M137" s="240"/>
      <c r="N137" s="240"/>
      <c r="O137" s="240"/>
      <c r="P137" s="239" t="s">
        <v>15440</v>
      </c>
      <c r="Q137" s="241"/>
      <c r="R137" s="236" t="str">
        <f ca="1">IF(ISERROR($V137),"",OFFSET('Smelter Look-up'!$C$4,$V137-4,0)&amp;"")</f>
        <v>Yamakin Co., Ltd.</v>
      </c>
      <c r="S137" s="250" t="str">
        <f t="shared" ca="1" si="6"/>
        <v>JP</v>
      </c>
      <c r="T137" s="250" t="str">
        <f ca="1">IF(B137="","",IF(ISERROR(MATCH($J137,SorP!$B$1:$B$6230,0)),"",INDIRECT("'SorP'!$A$"&amp;MATCH($J137,SorP!$B$1:$B$6230,0))))</f>
        <v>JP-39</v>
      </c>
      <c r="U137" s="280"/>
      <c r="V137" s="281">
        <f>IF(C137="",NA(),MATCH($B137&amp;$C137,'Smelter Look-up'!$J:$J,0))</f>
        <v>262</v>
      </c>
      <c r="W137" s="282"/>
      <c r="X137" s="282">
        <f t="shared" si="7"/>
        <v>0</v>
      </c>
      <c r="Y137" s="282"/>
      <c r="Z137" s="282"/>
      <c r="AB137" s="284" t="str">
        <f t="shared" si="8"/>
        <v>GoldYamakin Co., Ltd.</v>
      </c>
    </row>
    <row r="138" spans="1:28" s="283" customFormat="1" ht="25.15" customHeight="1">
      <c r="A138" s="235" t="s">
        <v>844</v>
      </c>
      <c r="B138" s="236" t="s">
        <v>1263</v>
      </c>
      <c r="C138" s="242" t="s">
        <v>2631</v>
      </c>
      <c r="D138" s="236"/>
      <c r="E138" s="236" t="s">
        <v>1241</v>
      </c>
      <c r="F138" s="236" t="s">
        <v>844</v>
      </c>
      <c r="G138" s="236" t="s">
        <v>14672</v>
      </c>
      <c r="H138" s="237"/>
      <c r="I138" s="238" t="s">
        <v>1965</v>
      </c>
      <c r="J138" s="238" t="s">
        <v>1942</v>
      </c>
      <c r="K138" s="240"/>
      <c r="L138" s="240"/>
      <c r="M138" s="240"/>
      <c r="N138" s="240"/>
      <c r="O138" s="240"/>
      <c r="P138" s="239" t="s">
        <v>15440</v>
      </c>
      <c r="Q138" s="241"/>
      <c r="R138" s="236" t="str">
        <f ca="1">IF(ISERROR($V138),"",OFFSET('Smelter Look-up'!$C$4,$V138-4,0)&amp;"")</f>
        <v>Yokohama Metal Co., Ltd.</v>
      </c>
      <c r="S138" s="250" t="str">
        <f t="shared" ca="1" si="6"/>
        <v>JP</v>
      </c>
      <c r="T138" s="250" t="str">
        <f ca="1">IF(B138="","",IF(ISERROR(MATCH($J138,SorP!$B$1:$B$6230,0)),"",INDIRECT("'SorP'!$A$"&amp;MATCH($J138,SorP!$B$1:$B$6230,0))))</f>
        <v>JP-14</v>
      </c>
      <c r="U138" s="280"/>
      <c r="V138" s="281">
        <f>IF(C138="",NA(),MATCH($B138&amp;$C138,'Smelter Look-up'!$J:$J,0))</f>
        <v>267</v>
      </c>
      <c r="W138" s="282"/>
      <c r="X138" s="282">
        <f t="shared" si="7"/>
        <v>0</v>
      </c>
      <c r="Y138" s="282"/>
      <c r="Z138" s="282"/>
      <c r="AB138" s="284" t="str">
        <f t="shared" si="8"/>
        <v>GoldYokohama Metal Co., Ltd.</v>
      </c>
    </row>
    <row r="139" spans="1:28" s="283" customFormat="1" ht="25.15" customHeight="1">
      <c r="A139" s="235" t="s">
        <v>845</v>
      </c>
      <c r="B139" s="236" t="s">
        <v>1263</v>
      </c>
      <c r="C139" s="242" t="s">
        <v>2603</v>
      </c>
      <c r="D139" s="236"/>
      <c r="E139" s="236" t="s">
        <v>1232</v>
      </c>
      <c r="F139" s="236" t="s">
        <v>845</v>
      </c>
      <c r="G139" s="236" t="s">
        <v>14672</v>
      </c>
      <c r="H139" s="237"/>
      <c r="I139" s="238" t="s">
        <v>1827</v>
      </c>
      <c r="J139" s="238" t="s">
        <v>1828</v>
      </c>
      <c r="K139" s="240"/>
      <c r="L139" s="240"/>
      <c r="M139" s="240"/>
      <c r="N139" s="240"/>
      <c r="O139" s="240"/>
      <c r="P139" s="239" t="s">
        <v>15440</v>
      </c>
      <c r="Q139" s="241"/>
      <c r="R139" s="236" t="str">
        <f ca="1">IF(ISERROR($V139),"",OFFSET('Smelter Look-up'!$C$4,$V139-4,0)&amp;"")</f>
        <v>Yunnan Copper Industry Co., Ltd.</v>
      </c>
      <c r="S139" s="250" t="str">
        <f t="shared" ca="1" si="6"/>
        <v>CN</v>
      </c>
      <c r="T139" s="250" t="str">
        <f ca="1">IF(B139="","",IF(ISERROR(MATCH($J139,SorP!$B$1:$B$6230,0)),"",INDIRECT("'SorP'!$A$"&amp;MATCH($J139,SorP!$B$1:$B$6230,0))))</f>
        <v>CH-BE</v>
      </c>
      <c r="U139" s="280"/>
      <c r="V139" s="281">
        <f>IF(C139="",NA(),MATCH($B139&amp;$C139,'Smelter Look-up'!$J:$J,0))</f>
        <v>268</v>
      </c>
      <c r="W139" s="282"/>
      <c r="X139" s="282">
        <f t="shared" si="7"/>
        <v>0</v>
      </c>
      <c r="Y139" s="282"/>
      <c r="Z139" s="282"/>
      <c r="AB139" s="284" t="str">
        <f t="shared" si="8"/>
        <v>GoldYunnan Copper Industry Co., Ltd.</v>
      </c>
    </row>
    <row r="140" spans="1:28" s="283" customFormat="1" ht="25.15" customHeight="1">
      <c r="A140" s="235" t="s">
        <v>846</v>
      </c>
      <c r="B140" s="236" t="s">
        <v>1263</v>
      </c>
      <c r="C140" s="242" t="s">
        <v>1471</v>
      </c>
      <c r="D140" s="236"/>
      <c r="E140" s="236" t="s">
        <v>1232</v>
      </c>
      <c r="F140" s="236" t="s">
        <v>846</v>
      </c>
      <c r="G140" s="236" t="s">
        <v>14672</v>
      </c>
      <c r="H140" s="237"/>
      <c r="I140" s="238" t="s">
        <v>1966</v>
      </c>
      <c r="J140" s="238" t="s">
        <v>1882</v>
      </c>
      <c r="K140" s="240"/>
      <c r="L140" s="240"/>
      <c r="M140" s="240"/>
      <c r="N140" s="240"/>
      <c r="O140" s="240"/>
      <c r="P140" s="239" t="s">
        <v>15440</v>
      </c>
      <c r="Q140" s="241"/>
      <c r="R140" s="236" t="str">
        <f ca="1">IF(ISERROR($V140),"",OFFSET('Smelter Look-up'!$C$4,$V140-4,0)&amp;"")</f>
        <v>Zhongyuan Gold Smelter of Zhongjin Gold Corporation</v>
      </c>
      <c r="S140" s="250" t="str">
        <f t="shared" ca="1" si="6"/>
        <v>CN</v>
      </c>
      <c r="T140" s="250" t="str">
        <f ca="1">IF(B140="","",IF(ISERROR(MATCH($J140,SorP!$B$1:$B$6230,0)),"",INDIRECT("'SorP'!$A$"&amp;MATCH($J140,SorP!$B$1:$B$6230,0))))</f>
        <v>CN-41</v>
      </c>
      <c r="U140" s="280"/>
      <c r="V140" s="281">
        <f>IF(C140="",NA(),MATCH($B140&amp;$C140,'Smelter Look-up'!$J:$J,0))</f>
        <v>277</v>
      </c>
      <c r="W140" s="282"/>
      <c r="X140" s="282">
        <f t="shared" si="7"/>
        <v>0</v>
      </c>
      <c r="Y140" s="282"/>
      <c r="Z140" s="282"/>
      <c r="AB140" s="284" t="str">
        <f t="shared" si="8"/>
        <v>GoldZhongyuan Gold Smelter of Zhongjin Gold Corporation</v>
      </c>
    </row>
    <row r="141" spans="1:28" s="283" customFormat="1" ht="25.15" customHeight="1">
      <c r="A141" s="235" t="s">
        <v>871</v>
      </c>
      <c r="B141" s="236" t="s">
        <v>1264</v>
      </c>
      <c r="C141" s="242" t="s">
        <v>56</v>
      </c>
      <c r="D141" s="236"/>
      <c r="E141" s="236" t="s">
        <v>3153</v>
      </c>
      <c r="F141" s="236" t="s">
        <v>871</v>
      </c>
      <c r="G141" s="236" t="s">
        <v>14672</v>
      </c>
      <c r="H141" s="237"/>
      <c r="I141" s="238" t="s">
        <v>2055</v>
      </c>
      <c r="J141" s="238" t="s">
        <v>2056</v>
      </c>
      <c r="K141" s="240"/>
      <c r="L141" s="240"/>
      <c r="M141" s="240"/>
      <c r="N141" s="240"/>
      <c r="O141" s="240"/>
      <c r="P141" s="239" t="s">
        <v>15440</v>
      </c>
      <c r="Q141" s="241"/>
      <c r="R141" s="236" t="str">
        <f ca="1">IF(ISERROR($V141),"",OFFSET('Smelter Look-up'!$C$4,$V141-4,0)&amp;"")</f>
        <v>Alpha</v>
      </c>
      <c r="S141" s="250" t="str">
        <f t="shared" ca="1" si="6"/>
        <v>US</v>
      </c>
      <c r="T141" s="250" t="str">
        <f ca="1">IF(B141="","",IF(ISERROR(MATCH($J141,SorP!$B$1:$B$6230,0)),"",INDIRECT("'SorP'!$A$"&amp;MATCH($J141,SorP!$B$1:$B$6230,0))))</f>
        <v>CN-45</v>
      </c>
      <c r="U141" s="280"/>
      <c r="V141" s="281">
        <f>IF(C141="",NA(),MATCH($B141&amp;$C141,'Smelter Look-up'!$J:$J,0))</f>
        <v>349</v>
      </c>
      <c r="W141" s="282"/>
      <c r="X141" s="282">
        <f t="shared" si="7"/>
        <v>0</v>
      </c>
      <c r="Y141" s="282"/>
      <c r="Z141" s="282"/>
      <c r="AB141" s="284" t="str">
        <f t="shared" si="8"/>
        <v>TinAlpha</v>
      </c>
    </row>
    <row r="142" spans="1:28" s="283" customFormat="1" ht="28.15" customHeight="1">
      <c r="A142" s="235" t="s">
        <v>2597</v>
      </c>
      <c r="B142" s="236" t="s">
        <v>1264</v>
      </c>
      <c r="C142" s="242" t="s">
        <v>2596</v>
      </c>
      <c r="D142" s="236"/>
      <c r="E142" s="236" t="s">
        <v>1020</v>
      </c>
      <c r="F142" s="236" t="s">
        <v>2597</v>
      </c>
      <c r="G142" s="236" t="s">
        <v>14672</v>
      </c>
      <c r="H142" s="237"/>
      <c r="I142" s="238" t="s">
        <v>2120</v>
      </c>
      <c r="J142" s="238" t="s">
        <v>13279</v>
      </c>
      <c r="K142" s="240"/>
      <c r="L142" s="240"/>
      <c r="M142" s="240"/>
      <c r="N142" s="240"/>
      <c r="O142" s="240"/>
      <c r="P142" s="239" t="s">
        <v>15440</v>
      </c>
      <c r="Q142" s="241"/>
      <c r="R142" s="236" t="str">
        <f ca="1">IF(ISERROR($V142),"",OFFSET('Smelter Look-up'!$C$4,$V142-4,0)&amp;"")</f>
        <v>An Vinh Joint Stock Mineral Processing Company</v>
      </c>
      <c r="S142" s="250" t="str">
        <f t="shared" ca="1" si="6"/>
        <v>VN</v>
      </c>
      <c r="T142" s="250" t="str">
        <f ca="1">IF(B142="","",IF(ISERROR(MATCH($J142,SorP!$B$1:$B$6230,0)),"",INDIRECT("'SorP'!$A$"&amp;MATCH($J142,SorP!$B$1:$B$6230,0))))</f>
        <v>VN-22</v>
      </c>
      <c r="U142" s="280"/>
      <c r="V142" s="281">
        <f>IF(C142="",NA(),MATCH($B142&amp;$C142,'Smelter Look-up'!$J:$J,0))</f>
        <v>353</v>
      </c>
      <c r="W142" s="282"/>
      <c r="X142" s="282">
        <f t="shared" si="7"/>
        <v>0</v>
      </c>
      <c r="Y142" s="282"/>
      <c r="Z142" s="282"/>
      <c r="AB142" s="284" t="str">
        <f t="shared" si="8"/>
        <v>TinAn Vinh Joint Stock Mineral Processing Company</v>
      </c>
    </row>
    <row r="143" spans="1:28" s="283" customFormat="1" ht="31.15" customHeight="1">
      <c r="A143" s="235" t="s">
        <v>2797</v>
      </c>
      <c r="B143" s="236" t="s">
        <v>1264</v>
      </c>
      <c r="C143" s="242" t="s">
        <v>3022</v>
      </c>
      <c r="D143" s="236"/>
      <c r="E143" s="236" t="s">
        <v>1232</v>
      </c>
      <c r="F143" s="236" t="s">
        <v>2797</v>
      </c>
      <c r="G143" s="236" t="s">
        <v>14672</v>
      </c>
      <c r="H143" s="237"/>
      <c r="I143" s="238" t="s">
        <v>1829</v>
      </c>
      <c r="J143" s="238" t="s">
        <v>1830</v>
      </c>
      <c r="K143" s="240"/>
      <c r="L143" s="240"/>
      <c r="M143" s="240"/>
      <c r="N143" s="240"/>
      <c r="O143" s="240"/>
      <c r="P143" s="239" t="s">
        <v>15440</v>
      </c>
      <c r="Q143" s="241"/>
      <c r="R143" s="236" t="str">
        <f ca="1">IF(ISERROR($V143),"",OFFSET('Smelter Look-up'!$C$4,$V143-4,0)&amp;"")</f>
        <v>Chenzhou Yunxiang Mining and Metallurgy Co., Ltd.</v>
      </c>
      <c r="S143" s="250" t="str">
        <f t="shared" ca="1" si="6"/>
        <v>CN</v>
      </c>
      <c r="T143" s="250" t="str">
        <f ca="1">IF(B143="","",IF(ISERROR(MATCH($J143,SorP!$B$1:$B$6230,0)),"",INDIRECT("'SorP'!$A$"&amp;MATCH($J143,SorP!$B$1:$B$6230,0))))</f>
        <v>CN-53</v>
      </c>
      <c r="U143" s="280"/>
      <c r="V143" s="281">
        <f>IF(C143="",NA(),MATCH($B143&amp;$C143,'Smelter Look-up'!$J:$J,0))</f>
        <v>358</v>
      </c>
      <c r="W143" s="282"/>
      <c r="X143" s="282">
        <f t="shared" si="7"/>
        <v>0</v>
      </c>
      <c r="Y143" s="282"/>
      <c r="Z143" s="282"/>
      <c r="AB143" s="284" t="str">
        <f t="shared" si="8"/>
        <v>TinChenzhou Yunxiang Mining and Metallurgy Co., Ltd.</v>
      </c>
    </row>
    <row r="144" spans="1:28" s="283" customFormat="1" ht="29.45" customHeight="1">
      <c r="A144" s="235" t="s">
        <v>881</v>
      </c>
      <c r="B144" s="236" t="s">
        <v>1264</v>
      </c>
      <c r="C144" s="242" t="s">
        <v>1474</v>
      </c>
      <c r="D144" s="236"/>
      <c r="E144" s="236" t="s">
        <v>1232</v>
      </c>
      <c r="F144" s="236" t="s">
        <v>881</v>
      </c>
      <c r="G144" s="236" t="s">
        <v>14672</v>
      </c>
      <c r="H144" s="237"/>
      <c r="I144" s="238" t="s">
        <v>1881</v>
      </c>
      <c r="J144" s="238" t="s">
        <v>1882</v>
      </c>
      <c r="K144" s="240"/>
      <c r="L144" s="240"/>
      <c r="M144" s="240"/>
      <c r="N144" s="240"/>
      <c r="O144" s="240"/>
      <c r="P144" s="239" t="s">
        <v>15440</v>
      </c>
      <c r="Q144" s="241"/>
      <c r="R144" s="236" t="str">
        <f ca="1">IF(ISERROR($V144),"",OFFSET('Smelter Look-up'!$C$4,$V144-4,0)&amp;"")</f>
        <v>China Tin Group Co., Ltd.</v>
      </c>
      <c r="S144" s="250" t="str">
        <f t="shared" ca="1" si="6"/>
        <v>CN</v>
      </c>
      <c r="T144" s="250" t="str">
        <f ca="1">IF(B144="","",IF(ISERROR(MATCH($J144,SorP!$B$1:$B$6230,0)),"",INDIRECT("'SorP'!$A$"&amp;MATCH($J144,SorP!$B$1:$B$6230,0))))</f>
        <v>CN-41</v>
      </c>
      <c r="U144" s="280"/>
      <c r="V144" s="281">
        <f>IF(C144="",NA(),MATCH($B144&amp;$C144,'Smelter Look-up'!$J:$J,0))</f>
        <v>362</v>
      </c>
      <c r="W144" s="282"/>
      <c r="X144" s="282">
        <f t="shared" si="7"/>
        <v>0</v>
      </c>
      <c r="Y144" s="282"/>
      <c r="Z144" s="282"/>
      <c r="AB144" s="284" t="str">
        <f t="shared" si="8"/>
        <v>TinChina Tin Group Co., Ltd.</v>
      </c>
    </row>
    <row r="145" spans="1:28" s="283" customFormat="1" ht="25.15" customHeight="1">
      <c r="A145" s="235" t="s">
        <v>870</v>
      </c>
      <c r="B145" s="236" t="s">
        <v>1264</v>
      </c>
      <c r="C145" s="242" t="s">
        <v>2604</v>
      </c>
      <c r="D145" s="236"/>
      <c r="E145" s="236" t="s">
        <v>1232</v>
      </c>
      <c r="F145" s="236" t="s">
        <v>870</v>
      </c>
      <c r="G145" s="236" t="s">
        <v>14672</v>
      </c>
      <c r="H145" s="237"/>
      <c r="I145" s="238" t="s">
        <v>1833</v>
      </c>
      <c r="J145" s="238" t="s">
        <v>1803</v>
      </c>
      <c r="K145" s="240"/>
      <c r="L145" s="240"/>
      <c r="M145" s="240"/>
      <c r="N145" s="240"/>
      <c r="O145" s="240"/>
      <c r="P145" s="239" t="s">
        <v>15440</v>
      </c>
      <c r="Q145" s="241"/>
      <c r="R145" s="236" t="str">
        <f ca="1">IF(ISERROR($V145),"",OFFSET('Smelter Look-up'!$C$4,$V145-4,0)&amp;"")</f>
        <v>CNMC (Guangxi) PGMA Co., Ltd.</v>
      </c>
      <c r="S145" s="250" t="str">
        <f t="shared" ca="1" si="6"/>
        <v>CN</v>
      </c>
      <c r="T145" s="250" t="str">
        <f ca="1">IF(B145="","",IF(ISERROR(MATCH($J145,SorP!$B$1:$B$6230,0)),"",INDIRECT("'SorP'!$A$"&amp;MATCH($J145,SorP!$B$1:$B$6230,0))))</f>
        <v>JP-13</v>
      </c>
      <c r="U145" s="280"/>
      <c r="V145" s="281">
        <f>IF(C145="",NA(),MATCH($B145&amp;$C145,'Smelter Look-up'!$J:$J,0))</f>
        <v>365</v>
      </c>
      <c r="W145" s="282"/>
      <c r="X145" s="282">
        <f t="shared" si="7"/>
        <v>0</v>
      </c>
      <c r="Y145" s="282"/>
      <c r="Z145" s="282"/>
      <c r="AB145" s="284" t="str">
        <f t="shared" si="8"/>
        <v>TinCNMC (Guangxi) PGMA Co., Ltd.</v>
      </c>
    </row>
    <row r="146" spans="1:28" s="283" customFormat="1" ht="25.15" customHeight="1">
      <c r="A146" s="235" t="s">
        <v>2114</v>
      </c>
      <c r="B146" s="236" t="s">
        <v>1264</v>
      </c>
      <c r="C146" s="242" t="s">
        <v>2113</v>
      </c>
      <c r="D146" s="236"/>
      <c r="E146" s="236" t="s">
        <v>1238</v>
      </c>
      <c r="F146" s="236" t="s">
        <v>2114</v>
      </c>
      <c r="G146" s="236" t="s">
        <v>14672</v>
      </c>
      <c r="H146" s="237"/>
      <c r="I146" s="238" t="s">
        <v>2065</v>
      </c>
      <c r="J146" s="347" t="s">
        <v>14221</v>
      </c>
      <c r="K146" s="345"/>
      <c r="L146" s="240"/>
      <c r="M146" s="240"/>
      <c r="N146" s="240"/>
      <c r="O146" s="240"/>
      <c r="P146" s="239" t="s">
        <v>15440</v>
      </c>
      <c r="Q146" s="241"/>
      <c r="R146" s="236" t="str">
        <f ca="1">IF(ISERROR($V146),"",OFFSET('Smelter Look-up'!$C$4,$V146-4,0)&amp;"")</f>
        <v>CV Ayi Jaya</v>
      </c>
      <c r="S146" s="250" t="str">
        <f t="shared" ca="1" si="6"/>
        <v>ID</v>
      </c>
      <c r="T146" s="250" t="str">
        <f ca="1">IF(B146="","",IF(ISERROR(MATCH($J146,SorP!$B$1:$B$6230,0)),"",INDIRECT("'SorP'!$A$"&amp;MATCH($J146,SorP!$B$1:$B$6230,0))))</f>
        <v>ID-BB</v>
      </c>
      <c r="U146" s="280"/>
      <c r="V146" s="281">
        <f>IF(C146="",NA(),MATCH($B146&amp;$C146,'Smelter Look-up'!$J:$J,0))</f>
        <v>369</v>
      </c>
      <c r="W146" s="282"/>
      <c r="X146" s="282">
        <f t="shared" si="7"/>
        <v>0</v>
      </c>
      <c r="Y146" s="282"/>
      <c r="Z146" s="282"/>
      <c r="AB146" s="284" t="str">
        <f t="shared" si="8"/>
        <v>TinCV Ayi Jaya</v>
      </c>
    </row>
    <row r="147" spans="1:28" s="283" customFormat="1" ht="37.9" customHeight="1">
      <c r="A147" s="235" t="s">
        <v>2794</v>
      </c>
      <c r="B147" s="236" t="s">
        <v>1264</v>
      </c>
      <c r="C147" s="242" t="s">
        <v>2793</v>
      </c>
      <c r="D147" s="236"/>
      <c r="E147" s="236" t="s">
        <v>1238</v>
      </c>
      <c r="F147" s="236" t="s">
        <v>2794</v>
      </c>
      <c r="G147" s="236" t="s">
        <v>14672</v>
      </c>
      <c r="H147" s="237"/>
      <c r="I147" s="238" t="s">
        <v>2067</v>
      </c>
      <c r="J147" s="347" t="s">
        <v>14221</v>
      </c>
      <c r="K147" s="345"/>
      <c r="L147" s="240"/>
      <c r="M147" s="240"/>
      <c r="N147" s="240"/>
      <c r="O147" s="240"/>
      <c r="P147" s="239" t="s">
        <v>15440</v>
      </c>
      <c r="Q147" s="241"/>
      <c r="R147" s="236" t="str">
        <f ca="1">IF(ISERROR($V147),"",OFFSET('Smelter Look-up'!$C$4,$V147-4,0)&amp;"")</f>
        <v>CV Dua Sekawan</v>
      </c>
      <c r="S147" s="250" t="str">
        <f t="shared" ca="1" si="6"/>
        <v>ID</v>
      </c>
      <c r="T147" s="250" t="str">
        <f ca="1">IF(B147="","",IF(ISERROR(MATCH($J147,SorP!$B$1:$B$6230,0)),"",INDIRECT("'SorP'!$A$"&amp;MATCH($J147,SorP!$B$1:$B$6230,0))))</f>
        <v>ID-BB</v>
      </c>
      <c r="U147" s="280"/>
      <c r="V147" s="281">
        <f>IF(C147="",NA(),MATCH($B147&amp;$C147,'Smelter Look-up'!$J:$J,0))</f>
        <v>370</v>
      </c>
      <c r="W147" s="282"/>
      <c r="X147" s="282">
        <f t="shared" si="7"/>
        <v>0</v>
      </c>
      <c r="Y147" s="282"/>
      <c r="Z147" s="282"/>
      <c r="AB147" s="284" t="str">
        <f t="shared" si="8"/>
        <v>TinCV Dua Sekawan</v>
      </c>
    </row>
    <row r="148" spans="1:28" s="283" customFormat="1" ht="37.9" customHeight="1">
      <c r="A148" s="235" t="s">
        <v>1534</v>
      </c>
      <c r="B148" s="236" t="s">
        <v>1264</v>
      </c>
      <c r="C148" s="242" t="s">
        <v>1533</v>
      </c>
      <c r="D148" s="236"/>
      <c r="E148" s="236" t="s">
        <v>1238</v>
      </c>
      <c r="F148" s="236" t="s">
        <v>1534</v>
      </c>
      <c r="G148" s="236" t="s">
        <v>14672</v>
      </c>
      <c r="H148" s="237"/>
      <c r="I148" s="238" t="s">
        <v>2058</v>
      </c>
      <c r="J148" s="238" t="s">
        <v>2030</v>
      </c>
      <c r="K148" s="240"/>
      <c r="L148" s="240"/>
      <c r="M148" s="240"/>
      <c r="N148" s="240"/>
      <c r="O148" s="240"/>
      <c r="P148" s="239" t="s">
        <v>15440</v>
      </c>
      <c r="Q148" s="241"/>
      <c r="R148" s="236" t="str">
        <f ca="1">IF(ISERROR($V148),"",OFFSET('Smelter Look-up'!$C$4,$V148-4,0)&amp;"")</f>
        <v>CV Gita Pesona</v>
      </c>
      <c r="S148" s="250" t="str">
        <f t="shared" ca="1" si="6"/>
        <v>ID</v>
      </c>
      <c r="T148" s="250" t="str">
        <f ca="1">IF(B148="","",IF(ISERROR(MATCH($J148,SorP!$B$1:$B$6230,0)),"",INDIRECT("'SorP'!$A$"&amp;MATCH($J148,SorP!$B$1:$B$6230,0))))</f>
        <v>US-PA</v>
      </c>
      <c r="U148" s="280"/>
      <c r="V148" s="281">
        <f>IF(C148="",NA(),MATCH($B148&amp;$C148,'Smelter Look-up'!$J:$J,0))</f>
        <v>371</v>
      </c>
      <c r="W148" s="282"/>
      <c r="X148" s="282">
        <f t="shared" si="7"/>
        <v>0</v>
      </c>
      <c r="Y148" s="282"/>
      <c r="Z148" s="282"/>
      <c r="AB148" s="284" t="str">
        <f t="shared" si="8"/>
        <v>TinCV Gita Pesona</v>
      </c>
    </row>
    <row r="149" spans="1:28" s="283" customFormat="1" ht="37.9" customHeight="1">
      <c r="A149" s="235" t="s">
        <v>2766</v>
      </c>
      <c r="B149" s="236" t="s">
        <v>1264</v>
      </c>
      <c r="C149" s="242" t="s">
        <v>2765</v>
      </c>
      <c r="D149" s="236"/>
      <c r="E149" s="236" t="s">
        <v>1238</v>
      </c>
      <c r="F149" s="236" t="s">
        <v>2766</v>
      </c>
      <c r="G149" s="236" t="s">
        <v>14672</v>
      </c>
      <c r="H149" s="237"/>
      <c r="I149" s="238" t="s">
        <v>2067</v>
      </c>
      <c r="J149" s="347" t="s">
        <v>14221</v>
      </c>
      <c r="K149" s="345"/>
      <c r="L149" s="240"/>
      <c r="M149" s="240"/>
      <c r="N149" s="240"/>
      <c r="O149" s="240"/>
      <c r="P149" s="239" t="s">
        <v>15440</v>
      </c>
      <c r="Q149" s="241"/>
      <c r="R149" s="236" t="str">
        <f ca="1">IF(ISERROR($V149),"",OFFSET('Smelter Look-up'!$C$4,$V149-4,0)&amp;"")</f>
        <v>CV Tiga Sekawan</v>
      </c>
      <c r="S149" s="250" t="str">
        <f t="shared" ca="1" si="6"/>
        <v>ID</v>
      </c>
      <c r="T149" s="250" t="str">
        <f ca="1">IF(B149="","",IF(ISERROR(MATCH($J149,SorP!$B$1:$B$6230,0)),"",INDIRECT("'SorP'!$A$"&amp;MATCH($J149,SorP!$B$1:$B$6230,0))))</f>
        <v>ID-BB</v>
      </c>
      <c r="U149" s="280"/>
      <c r="V149" s="281">
        <f>IF(C149="",NA(),MATCH($B149&amp;$C149,'Smelter Look-up'!$J:$J,0))</f>
        <v>374</v>
      </c>
      <c r="W149" s="282"/>
      <c r="X149" s="282">
        <f t="shared" si="7"/>
        <v>0</v>
      </c>
      <c r="Y149" s="282"/>
      <c r="Z149" s="282"/>
      <c r="AB149" s="284" t="str">
        <f t="shared" si="8"/>
        <v>TinCV Tiga Sekawan</v>
      </c>
    </row>
    <row r="150" spans="1:28" s="283" customFormat="1" ht="37.9" customHeight="1">
      <c r="A150" s="235" t="s">
        <v>873</v>
      </c>
      <c r="B150" s="236" t="s">
        <v>1264</v>
      </c>
      <c r="C150" s="242" t="s">
        <v>968</v>
      </c>
      <c r="D150" s="236"/>
      <c r="E150" s="236" t="s">
        <v>1238</v>
      </c>
      <c r="F150" s="236" t="s">
        <v>873</v>
      </c>
      <c r="G150" s="236" t="s">
        <v>14672</v>
      </c>
      <c r="H150" s="237"/>
      <c r="I150" s="238" t="s">
        <v>2066</v>
      </c>
      <c r="J150" s="347" t="s">
        <v>14221</v>
      </c>
      <c r="K150" s="345"/>
      <c r="L150" s="240"/>
      <c r="M150" s="240"/>
      <c r="N150" s="240"/>
      <c r="O150" s="240"/>
      <c r="P150" s="239" t="s">
        <v>15440</v>
      </c>
      <c r="Q150" s="241"/>
      <c r="R150" s="236" t="str">
        <f ca="1">IF(ISERROR($V150),"",OFFSET('Smelter Look-up'!$C$4,$V150-4,0)&amp;"")</f>
        <v>CV United Smelting</v>
      </c>
      <c r="S150" s="250" t="str">
        <f t="shared" ca="1" si="6"/>
        <v>ID</v>
      </c>
      <c r="T150" s="250" t="str">
        <f ca="1">IF(B150="","",IF(ISERROR(MATCH($J150,SorP!$B$1:$B$6230,0)),"",INDIRECT("'SorP'!$A$"&amp;MATCH($J150,SorP!$B$1:$B$6230,0))))</f>
        <v>ID-BB</v>
      </c>
      <c r="U150" s="280"/>
      <c r="V150" s="281">
        <f>IF(C150="",NA(),MATCH($B150&amp;$C150,'Smelter Look-up'!$J:$J,0))</f>
        <v>375</v>
      </c>
      <c r="W150" s="282"/>
      <c r="X150" s="282">
        <f t="shared" si="7"/>
        <v>0</v>
      </c>
      <c r="Y150" s="282"/>
      <c r="Z150" s="282"/>
      <c r="AB150" s="284" t="str">
        <f t="shared" si="8"/>
        <v>TinCV United Smelting</v>
      </c>
    </row>
    <row r="151" spans="1:28" s="283" customFormat="1" ht="50.45" customHeight="1">
      <c r="A151" s="235" t="s">
        <v>1560</v>
      </c>
      <c r="B151" s="236" t="s">
        <v>1264</v>
      </c>
      <c r="C151" s="242" t="s">
        <v>1559</v>
      </c>
      <c r="D151" s="236"/>
      <c r="E151" s="236" t="s">
        <v>1238</v>
      </c>
      <c r="F151" s="236" t="s">
        <v>1560</v>
      </c>
      <c r="G151" s="236" t="s">
        <v>14672</v>
      </c>
      <c r="H151" s="237"/>
      <c r="I151" s="238" t="s">
        <v>2067</v>
      </c>
      <c r="J151" s="347" t="s">
        <v>14221</v>
      </c>
      <c r="K151" s="345"/>
      <c r="L151" s="240"/>
      <c r="M151" s="240"/>
      <c r="N151" s="240"/>
      <c r="O151" s="240"/>
      <c r="P151" s="239" t="s">
        <v>15440</v>
      </c>
      <c r="Q151" s="241"/>
      <c r="R151" s="236" t="str">
        <f ca="1">IF(ISERROR($V151),"",OFFSET('Smelter Look-up'!$C$4,$V151-4,0)&amp;"")</f>
        <v>CV Venus Inti Perkasa</v>
      </c>
      <c r="S151" s="250" t="str">
        <f t="shared" ca="1" si="6"/>
        <v>ID</v>
      </c>
      <c r="T151" s="250" t="str">
        <f ca="1">IF(B151="","",IF(ISERROR(MATCH($J151,SorP!$B$1:$B$6230,0)),"",INDIRECT("'SorP'!$A$"&amp;MATCH($J151,SorP!$B$1:$B$6230,0))))</f>
        <v>ID-BB</v>
      </c>
      <c r="U151" s="280"/>
      <c r="V151" s="281">
        <f>IF(C151="",NA(),MATCH($B151&amp;$C151,'Smelter Look-up'!$J:$J,0))</f>
        <v>376</v>
      </c>
      <c r="W151" s="282"/>
      <c r="X151" s="282">
        <f t="shared" si="7"/>
        <v>0</v>
      </c>
      <c r="Y151" s="282"/>
      <c r="Z151" s="282"/>
      <c r="AB151" s="284" t="str">
        <f t="shared" si="8"/>
        <v>TinCV Venus Inti Perkasa</v>
      </c>
    </row>
    <row r="152" spans="1:28" s="283" customFormat="1" ht="20.25">
      <c r="A152" s="235" t="s">
        <v>1578</v>
      </c>
      <c r="B152" s="236" t="s">
        <v>1264</v>
      </c>
      <c r="C152" s="242" t="s">
        <v>1034</v>
      </c>
      <c r="D152" s="236"/>
      <c r="E152" s="236" t="s">
        <v>1241</v>
      </c>
      <c r="F152" s="236" t="s">
        <v>1578</v>
      </c>
      <c r="G152" s="236" t="s">
        <v>14672</v>
      </c>
      <c r="H152" s="237"/>
      <c r="I152" s="238" t="s">
        <v>1838</v>
      </c>
      <c r="J152" s="238" t="s">
        <v>1839</v>
      </c>
      <c r="K152" s="240"/>
      <c r="L152" s="240"/>
      <c r="M152" s="240"/>
      <c r="N152" s="240"/>
      <c r="O152" s="240"/>
      <c r="P152" s="239" t="s">
        <v>15440</v>
      </c>
      <c r="Q152" s="241"/>
      <c r="R152" s="236" t="str">
        <f ca="1">IF(ISERROR($V152),"",OFFSET('Smelter Look-up'!$C$4,$V152-4,0)&amp;"")</f>
        <v>Dowa</v>
      </c>
      <c r="S152" s="250" t="str">
        <f t="shared" ca="1" si="6"/>
        <v>JP</v>
      </c>
      <c r="T152" s="250" t="str">
        <f ca="1">IF(B152="","",IF(ISERROR(MATCH($J152,SorP!$B$1:$B$6230,0)),"",INDIRECT("'SorP'!$A$"&amp;MATCH($J152,SorP!$B$1:$B$6230,0))))</f>
        <v>JP-05</v>
      </c>
      <c r="U152" s="280"/>
      <c r="V152" s="281">
        <f>IF(C152="",NA(),MATCH($B152&amp;$C152,'Smelter Look-up'!$J:$J,0))</f>
        <v>377</v>
      </c>
      <c r="W152" s="282"/>
      <c r="X152" s="282">
        <f t="shared" si="7"/>
        <v>0</v>
      </c>
      <c r="Y152" s="282"/>
      <c r="Z152" s="282"/>
      <c r="AB152" s="284" t="str">
        <f t="shared" si="8"/>
        <v>TinDowa</v>
      </c>
    </row>
    <row r="153" spans="1:28" s="283" customFormat="1" ht="37.9" customHeight="1">
      <c r="A153" s="235" t="s">
        <v>874</v>
      </c>
      <c r="B153" s="236" t="s">
        <v>1264</v>
      </c>
      <c r="C153" s="242" t="s">
        <v>969</v>
      </c>
      <c r="D153" s="236"/>
      <c r="E153" s="236" t="s">
        <v>3151</v>
      </c>
      <c r="F153" s="236" t="s">
        <v>874</v>
      </c>
      <c r="G153" s="236" t="s">
        <v>14672</v>
      </c>
      <c r="H153" s="237"/>
      <c r="I153" s="238" t="s">
        <v>1843</v>
      </c>
      <c r="J153" s="238" t="s">
        <v>1844</v>
      </c>
      <c r="K153" s="240"/>
      <c r="L153" s="240"/>
      <c r="M153" s="240"/>
      <c r="N153" s="240"/>
      <c r="O153" s="240"/>
      <c r="P153" s="239" t="s">
        <v>15440</v>
      </c>
      <c r="Q153" s="241"/>
      <c r="R153" s="236" t="str">
        <f ca="1">IF(ISERROR($V153),"",OFFSET('Smelter Look-up'!$C$4,$V153-4,0)&amp;"")</f>
        <v>EM Vinto</v>
      </c>
      <c r="S153" s="250" t="str">
        <f t="shared" ca="1" si="6"/>
        <v>BO</v>
      </c>
      <c r="T153" s="250" t="str">
        <f ca="1">IF(B153="","",IF(ISERROR(MATCH($J153,SorP!$B$1:$B$6230,0)),"",INDIRECT("'SorP'!$A$"&amp;MATCH($J153,SorP!$B$1:$B$6230,0))))</f>
        <v>JP-11</v>
      </c>
      <c r="U153" s="280"/>
      <c r="V153" s="281">
        <f>IF(C153="",NA(),MATCH($B153&amp;$C153,'Smelter Look-up'!$J:$J,0))</f>
        <v>380</v>
      </c>
      <c r="W153" s="282"/>
      <c r="X153" s="282">
        <f t="shared" si="7"/>
        <v>0</v>
      </c>
      <c r="Y153" s="282"/>
      <c r="Z153" s="282"/>
      <c r="AB153" s="284" t="str">
        <f t="shared" si="8"/>
        <v>TinEM Vinto</v>
      </c>
    </row>
    <row r="154" spans="1:28" s="283" customFormat="1" ht="50.45" customHeight="1">
      <c r="A154" s="235" t="s">
        <v>875</v>
      </c>
      <c r="B154" s="236" t="s">
        <v>1264</v>
      </c>
      <c r="C154" s="242" t="s">
        <v>13593</v>
      </c>
      <c r="D154" s="236"/>
      <c r="E154" s="236" t="s">
        <v>1228</v>
      </c>
      <c r="F154" s="236" t="s">
        <v>875</v>
      </c>
      <c r="G154" s="236" t="s">
        <v>14672</v>
      </c>
      <c r="H154" s="237"/>
      <c r="I154" s="238" t="s">
        <v>2069</v>
      </c>
      <c r="J154" s="238" t="s">
        <v>2069</v>
      </c>
      <c r="K154" s="240"/>
      <c r="L154" s="240"/>
      <c r="M154" s="240"/>
      <c r="N154" s="240"/>
      <c r="O154" s="240"/>
      <c r="P154" s="239" t="s">
        <v>15440</v>
      </c>
      <c r="Q154" s="241"/>
      <c r="R154" s="236" t="str">
        <f ca="1">IF(ISERROR($V154),"",OFFSET('Smelter Look-up'!$C$4,$V154-4,0)&amp;"")</f>
        <v>Estanho de Rondonia S.A.</v>
      </c>
      <c r="S154" s="250" t="str">
        <f t="shared" ca="1" si="6"/>
        <v>BR</v>
      </c>
      <c r="T154" s="250" t="str">
        <f ca="1">IF(B154="","",IF(ISERROR(MATCH($J154,SorP!$B$1:$B$6230,0)),"",INDIRECT("'SorP'!$A$"&amp;MATCH($J154,SorP!$B$1:$B$6230,0))))</f>
        <v>BO-O</v>
      </c>
      <c r="U154" s="280"/>
      <c r="V154" s="281">
        <f>IF(C154="",NA(),MATCH($B154&amp;$C154,'Smelter Look-up'!$J:$J,0))</f>
        <v>384</v>
      </c>
      <c r="W154" s="282"/>
      <c r="X154" s="282">
        <f t="shared" si="7"/>
        <v>0</v>
      </c>
      <c r="Y154" s="282"/>
      <c r="Z154" s="282"/>
      <c r="AB154" s="284" t="str">
        <f t="shared" si="8"/>
        <v>TinEstanho de Rondonia S.A.</v>
      </c>
    </row>
    <row r="155" spans="1:28" s="283" customFormat="1" ht="25.15" customHeight="1">
      <c r="A155" s="235" t="s">
        <v>876</v>
      </c>
      <c r="B155" s="236" t="s">
        <v>1264</v>
      </c>
      <c r="C155" s="242" t="s">
        <v>938</v>
      </c>
      <c r="D155" s="236"/>
      <c r="E155" s="236" t="s">
        <v>1010</v>
      </c>
      <c r="F155" s="236" t="s">
        <v>876</v>
      </c>
      <c r="G155" s="236" t="s">
        <v>14672</v>
      </c>
      <c r="H155" s="237"/>
      <c r="I155" s="238" t="s">
        <v>2064</v>
      </c>
      <c r="J155" s="238" t="s">
        <v>2070</v>
      </c>
      <c r="K155" s="240"/>
      <c r="L155" s="240"/>
      <c r="M155" s="240"/>
      <c r="N155" s="240"/>
      <c r="O155" s="240"/>
      <c r="P155" s="239" t="s">
        <v>15440</v>
      </c>
      <c r="Q155" s="241"/>
      <c r="R155" s="236" t="str">
        <f ca="1">IF(ISERROR($V155),"",OFFSET('Smelter Look-up'!$C$4,$V155-4,0)&amp;"")</f>
        <v>Fenix Metals</v>
      </c>
      <c r="S155" s="250" t="str">
        <f t="shared" ca="1" si="6"/>
        <v>PL</v>
      </c>
      <c r="T155" s="250" t="str">
        <f ca="1">IF(B155="","",IF(ISERROR(MATCH($J155,SorP!$B$1:$B$6230,0)),"",INDIRECT("'SorP'!$A$"&amp;MATCH($J155,SorP!$B$1:$B$6230,0))))</f>
        <v>BR-RO</v>
      </c>
      <c r="U155" s="280"/>
      <c r="V155" s="281">
        <f>IF(C155="",NA(),MATCH($B155&amp;$C155,'Smelter Look-up'!$J:$J,0))</f>
        <v>386</v>
      </c>
      <c r="W155" s="282"/>
      <c r="X155" s="282">
        <f t="shared" si="7"/>
        <v>0</v>
      </c>
      <c r="Y155" s="282"/>
      <c r="Z155" s="282"/>
      <c r="AB155" s="284" t="str">
        <f t="shared" si="8"/>
        <v>TinFenix Metals</v>
      </c>
    </row>
    <row r="156" spans="1:28" s="283" customFormat="1" ht="88.15" customHeight="1">
      <c r="A156" s="235" t="s">
        <v>2767</v>
      </c>
      <c r="B156" s="236" t="s">
        <v>1264</v>
      </c>
      <c r="C156" s="242" t="s">
        <v>3024</v>
      </c>
      <c r="D156" s="236"/>
      <c r="E156" s="236" t="s">
        <v>1232</v>
      </c>
      <c r="F156" s="236" t="s">
        <v>2767</v>
      </c>
      <c r="G156" s="236" t="s">
        <v>14672</v>
      </c>
      <c r="H156" s="237"/>
      <c r="I156" s="238" t="s">
        <v>3170</v>
      </c>
      <c r="J156" s="238" t="s">
        <v>1830</v>
      </c>
      <c r="K156" s="240"/>
      <c r="L156" s="240"/>
      <c r="M156" s="240"/>
      <c r="N156" s="240"/>
      <c r="O156" s="240"/>
      <c r="P156" s="239" t="s">
        <v>15440</v>
      </c>
      <c r="Q156" s="241"/>
      <c r="R156" s="236" t="str">
        <f ca="1">IF(ISERROR($V156),"",OFFSET('Smelter Look-up'!$C$4,$V156-4,0)&amp;"")</f>
        <v>Gejiu Fengming Metallurgy Chemical Plant</v>
      </c>
      <c r="S156" s="250" t="str">
        <f t="shared" ca="1" si="6"/>
        <v>CN</v>
      </c>
      <c r="T156" s="250" t="str">
        <f ca="1">IF(B156="","",IF(ISERROR(MATCH($J156,SorP!$B$1:$B$6230,0)),"",INDIRECT("'SorP'!$A$"&amp;MATCH($J156,SorP!$B$1:$B$6230,0))))</f>
        <v>CN-53</v>
      </c>
      <c r="U156" s="280"/>
      <c r="V156" s="281">
        <f>IF(C156="",NA(),MATCH($B156&amp;$C156,'Smelter Look-up'!$J:$J,0))</f>
        <v>389</v>
      </c>
      <c r="W156" s="282"/>
      <c r="X156" s="282">
        <f t="shared" si="7"/>
        <v>0</v>
      </c>
      <c r="Y156" s="282"/>
      <c r="Z156" s="282"/>
      <c r="AB156" s="284" t="str">
        <f t="shared" si="8"/>
        <v>TinGejiu Fengming Metallurgy Chemical Plant</v>
      </c>
    </row>
    <row r="157" spans="1:28" s="283" customFormat="1" ht="63" customHeight="1">
      <c r="A157" s="235" t="s">
        <v>3026</v>
      </c>
      <c r="B157" s="236" t="s">
        <v>1264</v>
      </c>
      <c r="C157" s="242" t="s">
        <v>3025</v>
      </c>
      <c r="D157" s="236"/>
      <c r="E157" s="236" t="s">
        <v>1232</v>
      </c>
      <c r="F157" s="236" t="s">
        <v>3026</v>
      </c>
      <c r="G157" s="236" t="s">
        <v>14672</v>
      </c>
      <c r="H157" s="237"/>
      <c r="I157" s="238" t="s">
        <v>3286</v>
      </c>
      <c r="J157" s="238" t="s">
        <v>1830</v>
      </c>
      <c r="K157" s="240"/>
      <c r="L157" s="240"/>
      <c r="M157" s="240"/>
      <c r="N157" s="240"/>
      <c r="O157" s="240"/>
      <c r="P157" s="239" t="s">
        <v>15440</v>
      </c>
      <c r="Q157" s="241"/>
      <c r="R157" s="236" t="str">
        <f ca="1">IF(ISERROR($V157),"",OFFSET('Smelter Look-up'!$C$4,$V157-4,0)&amp;"")</f>
        <v>Gejiu Jinye Mineral Company</v>
      </c>
      <c r="S157" s="250" t="str">
        <f t="shared" ca="1" si="6"/>
        <v>CN</v>
      </c>
      <c r="T157" s="250" t="str">
        <f ca="1">IF(B157="","",IF(ISERROR(MATCH($J157,SorP!$B$1:$B$6230,0)),"",INDIRECT("'SorP'!$A$"&amp;MATCH($J157,SorP!$B$1:$B$6230,0))))</f>
        <v>CN-53</v>
      </c>
      <c r="U157" s="280"/>
      <c r="V157" s="281">
        <f>IF(C157="",NA(),MATCH($B157&amp;$C157,'Smelter Look-up'!$J:$J,0))</f>
        <v>390</v>
      </c>
      <c r="W157" s="282"/>
      <c r="X157" s="282">
        <f t="shared" si="7"/>
        <v>0</v>
      </c>
      <c r="Y157" s="282"/>
      <c r="Z157" s="282"/>
      <c r="AB157" s="284" t="str">
        <f t="shared" si="8"/>
        <v>TinGejiu Jinye Mineral Company</v>
      </c>
    </row>
    <row r="158" spans="1:28" s="283" customFormat="1" ht="88.15" customHeight="1">
      <c r="A158" s="235" t="s">
        <v>880</v>
      </c>
      <c r="B158" s="236" t="s">
        <v>1264</v>
      </c>
      <c r="C158" s="242" t="s">
        <v>1595</v>
      </c>
      <c r="D158" s="236"/>
      <c r="E158" s="236" t="s">
        <v>1232</v>
      </c>
      <c r="F158" s="236" t="s">
        <v>880</v>
      </c>
      <c r="G158" s="236" t="s">
        <v>14672</v>
      </c>
      <c r="H158" s="237"/>
      <c r="I158" s="238" t="s">
        <v>3061</v>
      </c>
      <c r="J158" s="238" t="s">
        <v>7585</v>
      </c>
      <c r="K158" s="240"/>
      <c r="L158" s="240"/>
      <c r="M158" s="240"/>
      <c r="N158" s="240"/>
      <c r="O158" s="240"/>
      <c r="P158" s="239" t="s">
        <v>15440</v>
      </c>
      <c r="Q158" s="241"/>
      <c r="R158" s="236" t="str">
        <f ca="1">IF(ISERROR($V158),"",OFFSET('Smelter Look-up'!$C$4,$V158-4,0)&amp;"")</f>
        <v>Gejiu Kai Meng Industry and Trade LLC</v>
      </c>
      <c r="S158" s="250" t="str">
        <f t="shared" ca="1" si="6"/>
        <v>CN</v>
      </c>
      <c r="T158" s="250" t="str">
        <f ca="1">IF(B158="","",IF(ISERROR(MATCH($J158,SorP!$B$1:$B$6230,0)),"",INDIRECT("'SorP'!$A$"&amp;MATCH($J158,SorP!$B$1:$B$6230,0))))</f>
        <v>JP-44</v>
      </c>
      <c r="U158" s="280"/>
      <c r="V158" s="281">
        <f>IF(C158="",NA(),MATCH($B158&amp;$C158,'Smelter Look-up'!$J:$J,0))</f>
        <v>391</v>
      </c>
      <c r="W158" s="282"/>
      <c r="X158" s="282">
        <f t="shared" si="7"/>
        <v>0</v>
      </c>
      <c r="Y158" s="282"/>
      <c r="Z158" s="282"/>
      <c r="AB158" s="284" t="str">
        <f t="shared" si="8"/>
        <v>TinGejiu Kai Meng Industry and Trade LLC</v>
      </c>
    </row>
    <row r="159" spans="1:28" s="283" customFormat="1" ht="88.15" customHeight="1">
      <c r="A159" s="235" t="s">
        <v>877</v>
      </c>
      <c r="B159" s="236" t="s">
        <v>1264</v>
      </c>
      <c r="C159" s="242" t="s">
        <v>2606</v>
      </c>
      <c r="D159" s="236"/>
      <c r="E159" s="236" t="s">
        <v>1232</v>
      </c>
      <c r="F159" s="236" t="s">
        <v>877</v>
      </c>
      <c r="G159" s="236" t="s">
        <v>14672</v>
      </c>
      <c r="H159" s="237"/>
      <c r="I159" s="238" t="s">
        <v>1845</v>
      </c>
      <c r="J159" s="347" t="s">
        <v>11153</v>
      </c>
      <c r="K159" s="345"/>
      <c r="L159" s="240"/>
      <c r="M159" s="240"/>
      <c r="N159" s="240"/>
      <c r="O159" s="240"/>
      <c r="P159" s="239" t="s">
        <v>15440</v>
      </c>
      <c r="Q159" s="241"/>
      <c r="R159" s="236" t="str">
        <f ca="1">IF(ISERROR($V159),"",OFFSET('Smelter Look-up'!$C$4,$V159-4,0)&amp;"")</f>
        <v>Gejiu Non-Ferrous Metal Processing Co., Ltd.</v>
      </c>
      <c r="S159" s="250" t="str">
        <f t="shared" ca="1" si="6"/>
        <v>CN</v>
      </c>
      <c r="T159" s="250" t="str">
        <f ca="1">IF(B159="","",IF(ISERROR(MATCH($J159,SorP!$B$1:$B$6230,0)),"",INDIRECT("'SorP'!$A$"&amp;MATCH($J159,SorP!$B$1:$B$6230,0))))</f>
        <v>RU-NVS</v>
      </c>
      <c r="U159" s="280"/>
      <c r="V159" s="281">
        <f>IF(C159="",NA(),MATCH($B159&amp;$C159,'Smelter Look-up'!$J:$J,0))</f>
        <v>392</v>
      </c>
      <c r="W159" s="282"/>
      <c r="X159" s="282">
        <f t="shared" si="7"/>
        <v>0</v>
      </c>
      <c r="Y159" s="282"/>
      <c r="Z159" s="282"/>
      <c r="AB159" s="284" t="str">
        <f t="shared" si="8"/>
        <v>TinGejiu Non-Ferrous Metal Processing Co., Ltd.</v>
      </c>
    </row>
    <row r="160" spans="1:28" s="283" customFormat="1" ht="88.15" customHeight="1">
      <c r="A160" s="235" t="s">
        <v>2107</v>
      </c>
      <c r="B160" s="236" t="s">
        <v>1264</v>
      </c>
      <c r="C160" s="242" t="s">
        <v>2106</v>
      </c>
      <c r="D160" s="236"/>
      <c r="E160" s="236" t="s">
        <v>1232</v>
      </c>
      <c r="F160" s="236" t="s">
        <v>2107</v>
      </c>
      <c r="G160" s="236" t="s">
        <v>14672</v>
      </c>
      <c r="H160" s="237"/>
      <c r="I160" s="238" t="s">
        <v>3170</v>
      </c>
      <c r="J160" s="238" t="s">
        <v>1830</v>
      </c>
      <c r="K160" s="240"/>
      <c r="L160" s="240"/>
      <c r="M160" s="240"/>
      <c r="N160" s="240"/>
      <c r="O160" s="240"/>
      <c r="P160" s="239" t="s">
        <v>15440</v>
      </c>
      <c r="Q160" s="241"/>
      <c r="R160" s="236" t="str">
        <f ca="1">IF(ISERROR($V160),"",OFFSET('Smelter Look-up'!$C$4,$V160-4,0)&amp;"")</f>
        <v>Gejiu Yunxin Nonferrous Electrolysis Co., Ltd.</v>
      </c>
      <c r="S160" s="250" t="str">
        <f t="shared" ca="1" si="6"/>
        <v>CN</v>
      </c>
      <c r="T160" s="250" t="str">
        <f ca="1">IF(B160="","",IF(ISERROR(MATCH($J160,SorP!$B$1:$B$6230,0)),"",INDIRECT("'SorP'!$A$"&amp;MATCH($J160,SorP!$B$1:$B$6230,0))))</f>
        <v>CN-53</v>
      </c>
      <c r="U160" s="280"/>
      <c r="V160" s="281">
        <f>IF(C160="",NA(),MATCH($B160&amp;$C160,'Smelter Look-up'!$J:$J,0))</f>
        <v>393</v>
      </c>
      <c r="W160" s="282"/>
      <c r="X160" s="282">
        <f t="shared" si="7"/>
        <v>0</v>
      </c>
      <c r="Y160" s="282"/>
      <c r="Z160" s="282"/>
      <c r="AB160" s="284" t="str">
        <f t="shared" si="8"/>
        <v>TinGejiu Yunxin Nonferrous Electrolysis Co., Ltd.</v>
      </c>
    </row>
    <row r="161" spans="1:28" s="283" customFormat="1" ht="88.15" customHeight="1">
      <c r="A161" s="235" t="s">
        <v>878</v>
      </c>
      <c r="B161" s="236" t="s">
        <v>1264</v>
      </c>
      <c r="C161" s="242" t="s">
        <v>2073</v>
      </c>
      <c r="D161" s="236"/>
      <c r="E161" s="236" t="s">
        <v>1232</v>
      </c>
      <c r="F161" s="236" t="s">
        <v>878</v>
      </c>
      <c r="G161" s="236" t="s">
        <v>14672</v>
      </c>
      <c r="H161" s="237"/>
      <c r="I161" s="238" t="s">
        <v>3170</v>
      </c>
      <c r="J161" s="238" t="s">
        <v>1830</v>
      </c>
      <c r="K161" s="240"/>
      <c r="L161" s="240"/>
      <c r="M161" s="240"/>
      <c r="N161" s="240"/>
      <c r="O161" s="240"/>
      <c r="P161" s="239" t="s">
        <v>15440</v>
      </c>
      <c r="Q161" s="241"/>
      <c r="R161" s="236" t="str">
        <f ca="1">IF(ISERROR($V161),"",OFFSET('Smelter Look-up'!$C$4,$V161-4,0)&amp;"")</f>
        <v>Gejiu Zili Mining And Metallurgy Co., Ltd.</v>
      </c>
      <c r="S161" s="250" t="str">
        <f t="shared" ca="1" si="6"/>
        <v>CN</v>
      </c>
      <c r="T161" s="250" t="str">
        <f ca="1">IF(B161="","",IF(ISERROR(MATCH($J161,SorP!$B$1:$B$6230,0)),"",INDIRECT("'SorP'!$A$"&amp;MATCH($J161,SorP!$B$1:$B$6230,0))))</f>
        <v>CN-53</v>
      </c>
      <c r="U161" s="280"/>
      <c r="V161" s="281">
        <f>IF(C161="",NA(),MATCH($B161&amp;$C161,'Smelter Look-up'!$J:$J,0))</f>
        <v>395</v>
      </c>
      <c r="W161" s="282"/>
      <c r="X161" s="282">
        <f t="shared" si="7"/>
        <v>0</v>
      </c>
      <c r="Y161" s="282"/>
      <c r="Z161" s="282"/>
      <c r="AB161" s="284" t="str">
        <f t="shared" si="8"/>
        <v>TinGejiu Zili Mining And Metallurgy Co., Ltd.</v>
      </c>
    </row>
    <row r="162" spans="1:28" s="283" customFormat="1" ht="88.15" customHeight="1">
      <c r="A162" s="235" t="s">
        <v>3288</v>
      </c>
      <c r="B162" s="236" t="s">
        <v>1264</v>
      </c>
      <c r="C162" s="242" t="s">
        <v>3287</v>
      </c>
      <c r="D162" s="236"/>
      <c r="E162" s="236" t="s">
        <v>1232</v>
      </c>
      <c r="F162" s="236" t="s">
        <v>3288</v>
      </c>
      <c r="G162" s="236" t="s">
        <v>14672</v>
      </c>
      <c r="H162" s="237"/>
      <c r="I162" s="238" t="s">
        <v>2134</v>
      </c>
      <c r="J162" s="238" t="s">
        <v>1975</v>
      </c>
      <c r="K162" s="240"/>
      <c r="L162" s="240"/>
      <c r="M162" s="240"/>
      <c r="N162" s="240"/>
      <c r="O162" s="240"/>
      <c r="P162" s="239" t="s">
        <v>15440</v>
      </c>
      <c r="Q162" s="241"/>
      <c r="R162" s="236" t="str">
        <f ca="1">IF(ISERROR($V162),"",OFFSET('Smelter Look-up'!$C$4,$V162-4,0)&amp;"")</f>
        <v>Guangdong Hanhe Non-Ferrous Metal Co., Ltd.</v>
      </c>
      <c r="S162" s="250" t="str">
        <f t="shared" ca="1" si="6"/>
        <v>CN</v>
      </c>
      <c r="T162" s="250" t="str">
        <f ca="1">IF(B162="","",IF(ISERROR(MATCH($J162,SorP!$B$1:$B$6230,0)),"",INDIRECT("'SorP'!$A$"&amp;MATCH($J162,SorP!$B$1:$B$6230,0))))</f>
        <v>CN-44</v>
      </c>
      <c r="U162" s="280"/>
      <c r="V162" s="281">
        <f>IF(C162="",NA(),MATCH($B162&amp;$C162,'Smelter Look-up'!$J:$J,0))</f>
        <v>398</v>
      </c>
      <c r="W162" s="282"/>
      <c r="X162" s="282">
        <f t="shared" si="7"/>
        <v>0</v>
      </c>
      <c r="Y162" s="282"/>
      <c r="Z162" s="282"/>
      <c r="AB162" s="284" t="str">
        <f t="shared" si="8"/>
        <v>TinGuangdong Hanhe Non-Ferrous Metal Co., Ltd.</v>
      </c>
    </row>
    <row r="163" spans="1:28" s="283" customFormat="1" ht="88.15" customHeight="1">
      <c r="A163" s="235" t="s">
        <v>2769</v>
      </c>
      <c r="B163" s="236" t="s">
        <v>1264</v>
      </c>
      <c r="C163" s="242" t="s">
        <v>2768</v>
      </c>
      <c r="D163" s="236"/>
      <c r="E163" s="236" t="s">
        <v>1232</v>
      </c>
      <c r="F163" s="236" t="s">
        <v>2769</v>
      </c>
      <c r="G163" s="236" t="s">
        <v>14672</v>
      </c>
      <c r="H163" s="237"/>
      <c r="I163" s="238" t="s">
        <v>2770</v>
      </c>
      <c r="J163" s="238" t="s">
        <v>2056</v>
      </c>
      <c r="K163" s="240"/>
      <c r="L163" s="240"/>
      <c r="M163" s="240"/>
      <c r="N163" s="240"/>
      <c r="O163" s="240"/>
      <c r="P163" s="239" t="s">
        <v>15440</v>
      </c>
      <c r="Q163" s="241"/>
      <c r="R163" s="236" t="str">
        <f ca="1">IF(ISERROR($V163),"",OFFSET('Smelter Look-up'!$C$4,$V163-4,0)&amp;"")</f>
        <v>Guanyang Guida Nonferrous Metal Smelting Plant</v>
      </c>
      <c r="S163" s="250" t="str">
        <f t="shared" ca="1" si="6"/>
        <v>CN</v>
      </c>
      <c r="T163" s="250" t="str">
        <f ca="1">IF(B163="","",IF(ISERROR(MATCH($J163,SorP!$B$1:$B$6230,0)),"",INDIRECT("'SorP'!$A$"&amp;MATCH($J163,SorP!$B$1:$B$6230,0))))</f>
        <v>CN-45</v>
      </c>
      <c r="U163" s="280"/>
      <c r="V163" s="281">
        <f>IF(C163="",NA(),MATCH($B163&amp;$C163,'Smelter Look-up'!$J:$J,0))</f>
        <v>402</v>
      </c>
      <c r="W163" s="282"/>
      <c r="X163" s="282">
        <f t="shared" si="7"/>
        <v>0</v>
      </c>
      <c r="Y163" s="282"/>
      <c r="Z163" s="282"/>
      <c r="AB163" s="284" t="str">
        <f t="shared" si="8"/>
        <v>TinGuanyang Guida Nonferrous Metal Smelting Plant</v>
      </c>
    </row>
    <row r="164" spans="1:28" s="283" customFormat="1" ht="63" customHeight="1">
      <c r="A164" s="235" t="s">
        <v>2796</v>
      </c>
      <c r="B164" s="236" t="s">
        <v>1264</v>
      </c>
      <c r="C164" s="242" t="s">
        <v>2795</v>
      </c>
      <c r="D164" s="236"/>
      <c r="E164" s="236" t="s">
        <v>1232</v>
      </c>
      <c r="F164" s="236" t="s">
        <v>2796</v>
      </c>
      <c r="G164" s="236" t="s">
        <v>14672</v>
      </c>
      <c r="H164" s="237"/>
      <c r="I164" s="238" t="s">
        <v>2074</v>
      </c>
      <c r="J164" s="238" t="s">
        <v>1866</v>
      </c>
      <c r="K164" s="240"/>
      <c r="L164" s="240"/>
      <c r="M164" s="240"/>
      <c r="N164" s="240"/>
      <c r="O164" s="240"/>
      <c r="P164" s="239" t="s">
        <v>15440</v>
      </c>
      <c r="Q164" s="241"/>
      <c r="R164" s="236" t="str">
        <f ca="1">IF(ISERROR($V164),"",OFFSET('Smelter Look-up'!$C$4,$V164-4,0)&amp;"")</f>
        <v>HuiChang Hill Tin Industry Co., Ltd.</v>
      </c>
      <c r="S164" s="250" t="str">
        <f t="shared" ca="1" si="6"/>
        <v>CN</v>
      </c>
      <c r="T164" s="250" t="str">
        <f ca="1">IF(B164="","",IF(ISERROR(MATCH($J164,SorP!$B$1:$B$6230,0)),"",INDIRECT("'SorP'!$A$"&amp;MATCH($J164,SorP!$B$1:$B$6230,0))))</f>
        <v>CN-36</v>
      </c>
      <c r="U164" s="280"/>
      <c r="V164" s="281">
        <f>IF(C164="",NA(),MATCH($B164&amp;$C164,'Smelter Look-up'!$J:$J,0))</f>
        <v>403</v>
      </c>
      <c r="W164" s="282"/>
      <c r="X164" s="282">
        <f t="shared" si="7"/>
        <v>0</v>
      </c>
      <c r="Y164" s="282"/>
      <c r="Z164" s="282"/>
      <c r="AB164" s="284" t="str">
        <f t="shared" si="8"/>
        <v>TinHuiChang Hill Tin Industry Co., Ltd.</v>
      </c>
    </row>
    <row r="165" spans="1:28" s="283" customFormat="1" ht="63" customHeight="1">
      <c r="A165" s="235" t="s">
        <v>879</v>
      </c>
      <c r="B165" s="236" t="s">
        <v>1264</v>
      </c>
      <c r="C165" s="242" t="s">
        <v>2607</v>
      </c>
      <c r="D165" s="236"/>
      <c r="E165" s="236" t="s">
        <v>1232</v>
      </c>
      <c r="F165" s="236" t="s">
        <v>879</v>
      </c>
      <c r="G165" s="236" t="s">
        <v>14672</v>
      </c>
      <c r="H165" s="237"/>
      <c r="I165" s="238" t="s">
        <v>1857</v>
      </c>
      <c r="J165" s="238" t="s">
        <v>5092</v>
      </c>
      <c r="K165" s="240"/>
      <c r="L165" s="240"/>
      <c r="M165" s="240"/>
      <c r="N165" s="240"/>
      <c r="O165" s="240"/>
      <c r="P165" s="239" t="s">
        <v>15440</v>
      </c>
      <c r="Q165" s="241"/>
      <c r="R165" s="236" t="str">
        <f ca="1">IF(ISERROR($V165),"",OFFSET('Smelter Look-up'!$C$4,$V165-4,0)&amp;"")</f>
        <v>Huichang Jinshunda Tin Co., Ltd.</v>
      </c>
      <c r="S165" s="250" t="str">
        <f t="shared" ca="1" si="6"/>
        <v>CN</v>
      </c>
      <c r="T165" s="250" t="str">
        <f ca="1">IF(B165="","",IF(ISERROR(MATCH($J165,SorP!$B$1:$B$6230,0)),"",INDIRECT("'SorP'!$A$"&amp;MATCH($J165,SorP!$B$1:$B$6230,0))))</f>
        <v>DE-HE</v>
      </c>
      <c r="U165" s="280"/>
      <c r="V165" s="281">
        <f>IF(C165="",NA(),MATCH($B165&amp;$C165,'Smelter Look-up'!$J:$J,0))</f>
        <v>404</v>
      </c>
      <c r="W165" s="282"/>
      <c r="X165" s="282">
        <f t="shared" si="7"/>
        <v>0</v>
      </c>
      <c r="Y165" s="282"/>
      <c r="Z165" s="282"/>
      <c r="AB165" s="284" t="str">
        <f t="shared" si="8"/>
        <v>TinHuichang Jinshunda Tin Co., Ltd.</v>
      </c>
    </row>
    <row r="166" spans="1:28" s="283" customFormat="1" ht="75.599999999999994" customHeight="1">
      <c r="A166" s="235" t="s">
        <v>869</v>
      </c>
      <c r="B166" s="236" t="s">
        <v>1264</v>
      </c>
      <c r="C166" s="242" t="s">
        <v>2054</v>
      </c>
      <c r="D166" s="236"/>
      <c r="E166" s="236" t="s">
        <v>1232</v>
      </c>
      <c r="F166" s="236" t="s">
        <v>869</v>
      </c>
      <c r="G166" s="236" t="s">
        <v>14672</v>
      </c>
      <c r="H166" s="237"/>
      <c r="I166" s="238" t="s">
        <v>1832</v>
      </c>
      <c r="J166" s="238" t="s">
        <v>7391</v>
      </c>
      <c r="K166" s="240"/>
      <c r="L166" s="240"/>
      <c r="M166" s="240"/>
      <c r="N166" s="240"/>
      <c r="O166" s="240"/>
      <c r="P166" s="239" t="s">
        <v>15440</v>
      </c>
      <c r="Q166" s="241"/>
      <c r="R166" s="236" t="str">
        <f ca="1">IF(ISERROR($V166),"",OFFSET('Smelter Look-up'!$C$4,$V166-4,0)&amp;"")</f>
        <v>Jiangxi Ketai Advanced Material Co., Ltd.</v>
      </c>
      <c r="S166" s="250" t="str">
        <f t="shared" ca="1" si="6"/>
        <v>CN</v>
      </c>
      <c r="T166" s="250" t="str">
        <f ca="1">IF(B166="","",IF(ISERROR(MATCH($J166,SorP!$B$1:$B$6230,0)),"",INDIRECT("'SorP'!$A$"&amp;MATCH($J166,SorP!$B$1:$B$6230,0))))</f>
        <v>IT-52</v>
      </c>
      <c r="U166" s="280"/>
      <c r="V166" s="281">
        <f>IF(C166="",NA(),MATCH($B166&amp;$C166,'Smelter Look-up'!$J:$J,0))</f>
        <v>408</v>
      </c>
      <c r="W166" s="282"/>
      <c r="X166" s="282">
        <f t="shared" si="7"/>
        <v>0</v>
      </c>
      <c r="Y166" s="282"/>
      <c r="Z166" s="282"/>
      <c r="AB166" s="284" t="str">
        <f t="shared" si="8"/>
        <v>TinJiangxi Ketai Advanced Material Co., Ltd.</v>
      </c>
    </row>
    <row r="167" spans="1:28" s="283" customFormat="1" ht="63" customHeight="1">
      <c r="A167" s="235" t="s">
        <v>2090</v>
      </c>
      <c r="B167" s="236" t="s">
        <v>1264</v>
      </c>
      <c r="C167" s="242" t="s">
        <v>14609</v>
      </c>
      <c r="D167" s="236"/>
      <c r="E167" s="236" t="s">
        <v>1232</v>
      </c>
      <c r="F167" s="236" t="s">
        <v>2090</v>
      </c>
      <c r="G167" s="236" t="s">
        <v>14672</v>
      </c>
      <c r="H167" s="237"/>
      <c r="I167" s="238" t="s">
        <v>2074</v>
      </c>
      <c r="J167" s="238" t="s">
        <v>1866</v>
      </c>
      <c r="K167" s="240"/>
      <c r="L167" s="240"/>
      <c r="M167" s="240"/>
      <c r="N167" s="240"/>
      <c r="O167" s="240"/>
      <c r="P167" s="239" t="s">
        <v>15440</v>
      </c>
      <c r="Q167" s="241"/>
      <c r="R167" s="236" t="str">
        <f ca="1">IF(ISERROR($V167),"",OFFSET('Smelter Look-up'!$C$4,$V167-4,0)&amp;"")</f>
        <v>Jiangxi New Nanshan Technology Ltd.</v>
      </c>
      <c r="S167" s="250" t="str">
        <f t="shared" ca="1" si="6"/>
        <v>CN</v>
      </c>
      <c r="T167" s="250" t="str">
        <f ca="1">IF(B167="","",IF(ISERROR(MATCH($J167,SorP!$B$1:$B$6230,0)),"",INDIRECT("'SorP'!$A$"&amp;MATCH($J167,SorP!$B$1:$B$6230,0))))</f>
        <v>CN-36</v>
      </c>
      <c r="U167" s="280"/>
      <c r="V167" s="281">
        <f>IF(C167="",NA(),MATCH($B167&amp;$C167,'Smelter Look-up'!$J:$J,0))</f>
        <v>410</v>
      </c>
      <c r="W167" s="282"/>
      <c r="X167" s="282">
        <f t="shared" si="7"/>
        <v>0</v>
      </c>
      <c r="Y167" s="282"/>
      <c r="Z167" s="282"/>
      <c r="AB167" s="284" t="str">
        <f t="shared" si="8"/>
        <v>TinJiangxi New Nanshan Technology Ltd.</v>
      </c>
    </row>
    <row r="168" spans="1:28" s="283" customFormat="1" ht="75.599999999999994" customHeight="1">
      <c r="A168" s="235" t="s">
        <v>154</v>
      </c>
      <c r="B168" s="236" t="s">
        <v>1264</v>
      </c>
      <c r="C168" s="242" t="s">
        <v>2634</v>
      </c>
      <c r="D168" s="236"/>
      <c r="E168" s="236" t="s">
        <v>1228</v>
      </c>
      <c r="F168" s="236" t="s">
        <v>154</v>
      </c>
      <c r="G168" s="236" t="s">
        <v>14672</v>
      </c>
      <c r="H168" s="237"/>
      <c r="I168" s="238" t="s">
        <v>2011</v>
      </c>
      <c r="J168" s="238" t="s">
        <v>1809</v>
      </c>
      <c r="K168" s="240"/>
      <c r="L168" s="240"/>
      <c r="M168" s="240"/>
      <c r="N168" s="240"/>
      <c r="O168" s="240"/>
      <c r="P168" s="239" t="s">
        <v>15440</v>
      </c>
      <c r="Q168" s="241"/>
      <c r="R168" s="236" t="str">
        <f ca="1">IF(ISERROR($V168),"",OFFSET('Smelter Look-up'!$C$4,$V168-4,0)&amp;"")</f>
        <v>Magnu's Minerais Metais e Ligas Ltda.</v>
      </c>
      <c r="S168" s="250" t="str">
        <f t="shared" ca="1" si="6"/>
        <v>BR</v>
      </c>
      <c r="T168" s="250" t="str">
        <f ca="1">IF(B168="","",IF(ISERROR(MATCH($J168,SorP!$B$1:$B$6230,0)),"",INDIRECT("'SorP'!$A$"&amp;MATCH($J168,SorP!$B$1:$B$6230,0))))</f>
        <v>BR-MG</v>
      </c>
      <c r="U168" s="280"/>
      <c r="V168" s="281">
        <f>IF(C168="",NA(),MATCH($B168&amp;$C168,'Smelter Look-up'!$J:$J,0))</f>
        <v>417</v>
      </c>
      <c r="W168" s="282"/>
      <c r="X168" s="282">
        <f t="shared" si="7"/>
        <v>0</v>
      </c>
      <c r="Y168" s="282"/>
      <c r="Z168" s="282"/>
      <c r="AB168" s="284" t="str">
        <f t="shared" si="8"/>
        <v>TinMagnu's Minerais Metais e Ligas Ltda.</v>
      </c>
    </row>
    <row r="169" spans="1:28" s="283" customFormat="1" ht="75.599999999999994" customHeight="1">
      <c r="A169" s="235" t="s">
        <v>882</v>
      </c>
      <c r="B169" s="236" t="s">
        <v>1264</v>
      </c>
      <c r="C169" s="242" t="s">
        <v>946</v>
      </c>
      <c r="D169" s="236"/>
      <c r="E169" s="236" t="s">
        <v>1248</v>
      </c>
      <c r="F169" s="236" t="s">
        <v>882</v>
      </c>
      <c r="G169" s="236" t="s">
        <v>14672</v>
      </c>
      <c r="H169" s="237"/>
      <c r="I169" s="238" t="s">
        <v>1885</v>
      </c>
      <c r="J169" s="238" t="s">
        <v>1882</v>
      </c>
      <c r="K169" s="240"/>
      <c r="L169" s="240"/>
      <c r="M169" s="240"/>
      <c r="N169" s="240"/>
      <c r="O169" s="240"/>
      <c r="P169" s="239" t="s">
        <v>15440</v>
      </c>
      <c r="Q169" s="241"/>
      <c r="R169" s="236" t="str">
        <f ca="1">IF(ISERROR($V169),"",OFFSET('Smelter Look-up'!$C$4,$V169-4,0)&amp;"")</f>
        <v>Malaysia Smelting Corporation (MSC)</v>
      </c>
      <c r="S169" s="250" t="str">
        <f t="shared" ca="1" si="6"/>
        <v>MY</v>
      </c>
      <c r="T169" s="250" t="str">
        <f ca="1">IF(B169="","",IF(ISERROR(MATCH($J169,SorP!$B$1:$B$6230,0)),"",INDIRECT("'SorP'!$A$"&amp;MATCH($J169,SorP!$B$1:$B$6230,0))))</f>
        <v>CN-41</v>
      </c>
      <c r="U169" s="280"/>
      <c r="V169" s="281">
        <f>IF(C169="",NA(),MATCH($B169&amp;$C169,'Smelter Look-up'!$J:$J,0))</f>
        <v>418</v>
      </c>
      <c r="W169" s="282"/>
      <c r="X169" s="282">
        <f t="shared" si="7"/>
        <v>0</v>
      </c>
      <c r="Y169" s="282"/>
      <c r="Z169" s="282"/>
      <c r="AB169" s="284" t="str">
        <f t="shared" si="8"/>
        <v>TinMalaysia Smelting Corporation (MSC)</v>
      </c>
    </row>
    <row r="170" spans="1:28" s="283" customFormat="1" ht="50.45" customHeight="1">
      <c r="A170" s="235" t="s">
        <v>1472</v>
      </c>
      <c r="B170" s="236" t="s">
        <v>1264</v>
      </c>
      <c r="C170" s="242" t="s">
        <v>3030</v>
      </c>
      <c r="D170" s="236"/>
      <c r="E170" s="236" t="s">
        <v>1228</v>
      </c>
      <c r="F170" s="236" t="s">
        <v>1472</v>
      </c>
      <c r="G170" s="236" t="s">
        <v>14672</v>
      </c>
      <c r="H170" s="237"/>
      <c r="I170" s="238" t="s">
        <v>2064</v>
      </c>
      <c r="J170" s="238" t="s">
        <v>2070</v>
      </c>
      <c r="K170" s="240"/>
      <c r="L170" s="240"/>
      <c r="M170" s="240"/>
      <c r="N170" s="240"/>
      <c r="O170" s="240"/>
      <c r="P170" s="239" t="s">
        <v>15440</v>
      </c>
      <c r="Q170" s="241"/>
      <c r="R170" s="236" t="str">
        <f ca="1">IF(ISERROR($V170),"",OFFSET('Smelter Look-up'!$C$4,$V170-4,0)&amp;"")</f>
        <v>Melt Metais e Ligas S.A.</v>
      </c>
      <c r="S170" s="250" t="str">
        <f t="shared" ca="1" si="6"/>
        <v>BR</v>
      </c>
      <c r="T170" s="250" t="str">
        <f ca="1">IF(B170="","",IF(ISERROR(MATCH($J170,SorP!$B$1:$B$6230,0)),"",INDIRECT("'SorP'!$A$"&amp;MATCH($J170,SorP!$B$1:$B$6230,0))))</f>
        <v>BR-RO</v>
      </c>
      <c r="U170" s="280"/>
      <c r="V170" s="281">
        <f>IF(C170="",NA(),MATCH($B170&amp;$C170,'Smelter Look-up'!$J:$J,0))</f>
        <v>419</v>
      </c>
      <c r="W170" s="282"/>
      <c r="X170" s="282">
        <f t="shared" si="7"/>
        <v>0</v>
      </c>
      <c r="Y170" s="282"/>
      <c r="Z170" s="282"/>
      <c r="AB170" s="284" t="str">
        <f t="shared" si="8"/>
        <v>TinMelt Metais e Ligas S.A.</v>
      </c>
    </row>
    <row r="171" spans="1:28" s="283" customFormat="1" ht="50.45" customHeight="1">
      <c r="A171" s="235" t="s">
        <v>2082</v>
      </c>
      <c r="B171" s="236" t="s">
        <v>1264</v>
      </c>
      <c r="C171" s="242" t="s">
        <v>2612</v>
      </c>
      <c r="D171" s="236"/>
      <c r="E171" s="236" t="s">
        <v>3153</v>
      </c>
      <c r="F171" s="236" t="s">
        <v>2082</v>
      </c>
      <c r="G171" s="236" t="s">
        <v>14672</v>
      </c>
      <c r="H171" s="237"/>
      <c r="I171" s="238" t="s">
        <v>1888</v>
      </c>
      <c r="J171" s="238" t="s">
        <v>1844</v>
      </c>
      <c r="K171" s="240"/>
      <c r="L171" s="240"/>
      <c r="M171" s="240"/>
      <c r="N171" s="240"/>
      <c r="O171" s="240"/>
      <c r="P171" s="239" t="s">
        <v>15440</v>
      </c>
      <c r="Q171" s="241"/>
      <c r="R171" s="236" t="str">
        <f ca="1">IF(ISERROR($V171),"",OFFSET('Smelter Look-up'!$C$4,$V171-4,0)&amp;"")</f>
        <v>Metallic Resources, Inc.</v>
      </c>
      <c r="S171" s="250" t="str">
        <f t="shared" ca="1" si="6"/>
        <v>US</v>
      </c>
      <c r="T171" s="250" t="str">
        <f ca="1">IF(B171="","",IF(ISERROR(MATCH($J171,SorP!$B$1:$B$6230,0)),"",INDIRECT("'SorP'!$A$"&amp;MATCH($J171,SorP!$B$1:$B$6230,0))))</f>
        <v>JP-11</v>
      </c>
      <c r="U171" s="280"/>
      <c r="V171" s="281">
        <f>IF(C171="",NA(),MATCH($B171&amp;$C171,'Smelter Look-up'!$J:$J,0))</f>
        <v>422</v>
      </c>
      <c r="W171" s="282"/>
      <c r="X171" s="282">
        <f t="shared" si="7"/>
        <v>0</v>
      </c>
      <c r="Y171" s="282"/>
      <c r="Z171" s="282"/>
      <c r="AB171" s="284" t="str">
        <f t="shared" si="8"/>
        <v>TinMetallic Resources, Inc.</v>
      </c>
    </row>
    <row r="172" spans="1:28" s="283" customFormat="1" ht="51">
      <c r="A172" s="235" t="s">
        <v>15442</v>
      </c>
      <c r="B172" s="236" t="s">
        <v>1264</v>
      </c>
      <c r="C172" s="242" t="s">
        <v>14316</v>
      </c>
      <c r="D172" s="236"/>
      <c r="E172" s="236" t="s">
        <v>1227</v>
      </c>
      <c r="F172" s="236" t="s">
        <v>15442</v>
      </c>
      <c r="G172" s="236" t="s">
        <v>15443</v>
      </c>
      <c r="H172" s="237"/>
      <c r="I172" s="238" t="s">
        <v>2126</v>
      </c>
      <c r="J172" s="238" t="s">
        <v>3919</v>
      </c>
      <c r="K172" s="240"/>
      <c r="L172" s="240"/>
      <c r="M172" s="240"/>
      <c r="N172" s="240"/>
      <c r="O172" s="240"/>
      <c r="P172" s="239" t="s">
        <v>15440</v>
      </c>
      <c r="Q172" s="241"/>
      <c r="R172" s="236" t="str">
        <f ca="1">IF(ISERROR($V172),"",OFFSET('Smelter Look-up'!$C$4,$V172-4,0)&amp;"")</f>
        <v>Metallo Belgium N.V.</v>
      </c>
      <c r="S172" s="250" t="str">
        <f t="shared" ca="1" si="6"/>
        <v>BE</v>
      </c>
      <c r="T172" s="250" t="str">
        <f ca="1">IF(B172="","",IF(ISERROR(MATCH($J172,SorP!$B$1:$B$6230,0)),"",INDIRECT("'SorP'!$A$"&amp;MATCH($J172,SorP!$B$1:$B$6230,0))))</f>
        <v>BE-VAN</v>
      </c>
      <c r="U172" s="280"/>
      <c r="V172" s="281">
        <f>IF(C172="",NA(),MATCH($B172&amp;$C172,'Smelter Look-up'!$J:$J,0))</f>
        <v>423</v>
      </c>
      <c r="W172" s="282"/>
      <c r="X172" s="282">
        <f t="shared" si="7"/>
        <v>0</v>
      </c>
      <c r="Y172" s="282"/>
      <c r="Z172" s="282"/>
      <c r="AB172" s="284" t="str">
        <f t="shared" si="8"/>
        <v>TinMetallo Belgium N.V.</v>
      </c>
    </row>
    <row r="173" spans="1:28" s="283" customFormat="1" ht="50.45" customHeight="1">
      <c r="A173" s="235" t="s">
        <v>2125</v>
      </c>
      <c r="B173" s="236" t="s">
        <v>1264</v>
      </c>
      <c r="C173" s="242" t="s">
        <v>14316</v>
      </c>
      <c r="D173" s="236"/>
      <c r="E173" s="236" t="s">
        <v>1227</v>
      </c>
      <c r="F173" s="236" t="s">
        <v>2125</v>
      </c>
      <c r="G173" s="236" t="s">
        <v>14672</v>
      </c>
      <c r="H173" s="237"/>
      <c r="I173" s="238" t="s">
        <v>2126</v>
      </c>
      <c r="J173" s="238" t="s">
        <v>3919</v>
      </c>
      <c r="K173" s="240"/>
      <c r="L173" s="240"/>
      <c r="M173" s="240"/>
      <c r="N173" s="240"/>
      <c r="O173" s="240"/>
      <c r="P173" s="239" t="s">
        <v>15440</v>
      </c>
      <c r="Q173" s="241"/>
      <c r="R173" s="236" t="str">
        <f ca="1">IF(ISERROR($V173),"",OFFSET('Smelter Look-up'!$C$4,$V173-4,0)&amp;"")</f>
        <v>Metallo Belgium N.V.</v>
      </c>
      <c r="S173" s="250" t="str">
        <f t="shared" ca="1" si="6"/>
        <v>BE</v>
      </c>
      <c r="T173" s="250" t="str">
        <f ca="1">IF(B173="","",IF(ISERROR(MATCH($J173,SorP!$B$1:$B$6230,0)),"",INDIRECT("'SorP'!$A$"&amp;MATCH($J173,SorP!$B$1:$B$6230,0))))</f>
        <v>BE-VAN</v>
      </c>
      <c r="U173" s="280"/>
      <c r="V173" s="281">
        <f>IF(C173="",NA(),MATCH($B173&amp;$C173,'Smelter Look-up'!$J:$J,0))</f>
        <v>423</v>
      </c>
      <c r="W173" s="282"/>
      <c r="X173" s="282">
        <f t="shared" si="7"/>
        <v>0</v>
      </c>
      <c r="Y173" s="282"/>
      <c r="Z173" s="282"/>
      <c r="AB173" s="284" t="str">
        <f t="shared" si="8"/>
        <v>TinMetallo Belgium N.V.</v>
      </c>
    </row>
    <row r="174" spans="1:28" s="283" customFormat="1" ht="37.9" customHeight="1">
      <c r="A174" s="235" t="s">
        <v>2127</v>
      </c>
      <c r="B174" s="236" t="s">
        <v>1264</v>
      </c>
      <c r="C174" s="242" t="s">
        <v>14317</v>
      </c>
      <c r="D174" s="236"/>
      <c r="E174" s="236" t="s">
        <v>1235</v>
      </c>
      <c r="F174" s="236" t="s">
        <v>2127</v>
      </c>
      <c r="G174" s="236" t="s">
        <v>14672</v>
      </c>
      <c r="H174" s="237"/>
      <c r="I174" s="238" t="s">
        <v>2128</v>
      </c>
      <c r="J174" s="238" t="s">
        <v>13577</v>
      </c>
      <c r="K174" s="240"/>
      <c r="L174" s="240"/>
      <c r="M174" s="240"/>
      <c r="N174" s="240"/>
      <c r="O174" s="240"/>
      <c r="P174" s="239" t="s">
        <v>15440</v>
      </c>
      <c r="Q174" s="241"/>
      <c r="R174" s="236" t="str">
        <f ca="1">IF(ISERROR($V174),"",OFFSET('Smelter Look-up'!$C$4,$V174-4,0)&amp;"")</f>
        <v>Metallo Spain S.L.U.</v>
      </c>
      <c r="S174" s="250" t="str">
        <f t="shared" ca="1" si="6"/>
        <v>ES</v>
      </c>
      <c r="T174" s="250" t="str">
        <f ca="1">IF(B174="","",IF(ISERROR(MATCH($J174,SorP!$B$1:$B$6230,0)),"",INDIRECT("'SorP'!$A$"&amp;MATCH($J174,SorP!$B$1:$B$6230,0))))</f>
        <v>ES-BI</v>
      </c>
      <c r="U174" s="280"/>
      <c r="V174" s="281">
        <f>IF(C174="",NA(),MATCH($B174&amp;$C174,'Smelter Look-up'!$J:$J,0))</f>
        <v>424</v>
      </c>
      <c r="W174" s="282"/>
      <c r="X174" s="282">
        <f t="shared" si="7"/>
        <v>0</v>
      </c>
      <c r="Y174" s="282"/>
      <c r="Z174" s="282"/>
      <c r="AB174" s="284" t="str">
        <f t="shared" si="8"/>
        <v>TinMetallo Spain S.L.U.</v>
      </c>
    </row>
    <row r="175" spans="1:28" s="283" customFormat="1" ht="50.45" customHeight="1">
      <c r="A175" s="235" t="s">
        <v>883</v>
      </c>
      <c r="B175" s="236" t="s">
        <v>1264</v>
      </c>
      <c r="C175" s="242" t="s">
        <v>13597</v>
      </c>
      <c r="D175" s="236"/>
      <c r="E175" s="236" t="s">
        <v>1228</v>
      </c>
      <c r="F175" s="236" t="s">
        <v>883</v>
      </c>
      <c r="G175" s="236" t="s">
        <v>14672</v>
      </c>
      <c r="H175" s="237"/>
      <c r="I175" s="238" t="s">
        <v>2084</v>
      </c>
      <c r="J175" s="238" t="s">
        <v>1954</v>
      </c>
      <c r="K175" s="240"/>
      <c r="L175" s="240"/>
      <c r="M175" s="240"/>
      <c r="N175" s="240"/>
      <c r="O175" s="240"/>
      <c r="P175" s="239" t="s">
        <v>15440</v>
      </c>
      <c r="Q175" s="241"/>
      <c r="R175" s="236" t="str">
        <f ca="1">IF(ISERROR($V175),"",OFFSET('Smelter Look-up'!$C$4,$V175-4,0)&amp;"")</f>
        <v>Mineracao Taboca S.A.</v>
      </c>
      <c r="S175" s="250" t="str">
        <f t="shared" ca="1" si="6"/>
        <v>BR</v>
      </c>
      <c r="T175" s="250" t="str">
        <f ca="1">IF(B175="","",IF(ISERROR(MATCH($J175,SorP!$B$1:$B$6230,0)),"",INDIRECT("'SorP'!$A$"&amp;MATCH($J175,SorP!$B$1:$B$6230,0))))</f>
        <v>BR-SP</v>
      </c>
      <c r="U175" s="280"/>
      <c r="V175" s="281">
        <f>IF(C175="",NA(),MATCH($B175&amp;$C175,'Smelter Look-up'!$J:$J,0))</f>
        <v>425</v>
      </c>
      <c r="W175" s="282"/>
      <c r="X175" s="282">
        <f t="shared" si="7"/>
        <v>0</v>
      </c>
      <c r="Y175" s="282"/>
      <c r="Z175" s="282"/>
      <c r="AB175" s="284" t="str">
        <f t="shared" si="8"/>
        <v>TinMineracao Taboca S.A.</v>
      </c>
    </row>
    <row r="176" spans="1:28" s="283" customFormat="1" ht="25.15" customHeight="1">
      <c r="A176" s="235" t="s">
        <v>884</v>
      </c>
      <c r="B176" s="236" t="s">
        <v>1264</v>
      </c>
      <c r="C176" s="242" t="s">
        <v>1163</v>
      </c>
      <c r="D176" s="236"/>
      <c r="E176" s="236" t="s">
        <v>1008</v>
      </c>
      <c r="F176" s="236" t="s">
        <v>884</v>
      </c>
      <c r="G176" s="236" t="s">
        <v>14672</v>
      </c>
      <c r="H176" s="237"/>
      <c r="I176" s="238" t="s">
        <v>2086</v>
      </c>
      <c r="J176" s="238" t="s">
        <v>10243</v>
      </c>
      <c r="K176" s="240"/>
      <c r="L176" s="240"/>
      <c r="M176" s="240"/>
      <c r="N176" s="240"/>
      <c r="O176" s="240"/>
      <c r="P176" s="239" t="s">
        <v>15440</v>
      </c>
      <c r="Q176" s="241"/>
      <c r="R176" s="236" t="str">
        <f ca="1">IF(ISERROR($V176),"",OFFSET('Smelter Look-up'!$C$4,$V176-4,0)&amp;"")</f>
        <v>Minsur</v>
      </c>
      <c r="S176" s="250" t="str">
        <f t="shared" ca="1" si="6"/>
        <v>PE</v>
      </c>
      <c r="T176" s="250" t="str">
        <f ca="1">IF(B176="","",IF(ISERROR(MATCH($J176,SorP!$B$1:$B$6230,0)),"",INDIRECT("'SorP'!$A$"&amp;MATCH($J176,SorP!$B$1:$B$6230,0))))</f>
        <v>PE-ICA</v>
      </c>
      <c r="U176" s="280"/>
      <c r="V176" s="281">
        <f>IF(C176="",NA(),MATCH($B176&amp;$C176,'Smelter Look-up'!$J:$J,0))</f>
        <v>428</v>
      </c>
      <c r="W176" s="282"/>
      <c r="X176" s="282">
        <f t="shared" si="7"/>
        <v>0</v>
      </c>
      <c r="Y176" s="282"/>
      <c r="Z176" s="282"/>
      <c r="AB176" s="284" t="str">
        <f t="shared" si="8"/>
        <v>TinMinsur</v>
      </c>
    </row>
    <row r="177" spans="1:28" s="283" customFormat="1" ht="63" customHeight="1">
      <c r="A177" s="235" t="s">
        <v>885</v>
      </c>
      <c r="B177" s="236" t="s">
        <v>1264</v>
      </c>
      <c r="C177" s="242" t="s">
        <v>1299</v>
      </c>
      <c r="D177" s="236"/>
      <c r="E177" s="236" t="s">
        <v>1241</v>
      </c>
      <c r="F177" s="236" t="s">
        <v>885</v>
      </c>
      <c r="G177" s="236" t="s">
        <v>14672</v>
      </c>
      <c r="H177" s="237"/>
      <c r="I177" s="238" t="s">
        <v>2089</v>
      </c>
      <c r="J177" s="238" t="s">
        <v>1813</v>
      </c>
      <c r="K177" s="240"/>
      <c r="L177" s="240"/>
      <c r="M177" s="240"/>
      <c r="N177" s="240"/>
      <c r="O177" s="240"/>
      <c r="P177" s="239" t="s">
        <v>15440</v>
      </c>
      <c r="Q177" s="241"/>
      <c r="R177" s="236" t="str">
        <f ca="1">IF(ISERROR($V177),"",OFFSET('Smelter Look-up'!$C$4,$V177-4,0)&amp;"")</f>
        <v>Mitsubishi Materials Corporation</v>
      </c>
      <c r="S177" s="250" t="str">
        <f t="shared" ca="1" si="6"/>
        <v>JP</v>
      </c>
      <c r="T177" s="250" t="str">
        <f ca="1">IF(B177="","",IF(ISERROR(MATCH($J177,SorP!$B$1:$B$6230,0)),"",INDIRECT("'SorP'!$A$"&amp;MATCH($J177,SorP!$B$1:$B$6230,0))))</f>
        <v>JP-28</v>
      </c>
      <c r="U177" s="280"/>
      <c r="V177" s="281">
        <f>IF(C177="",NA(),MATCH($B177&amp;$C177,'Smelter Look-up'!$J:$J,0))</f>
        <v>429</v>
      </c>
      <c r="W177" s="282"/>
      <c r="X177" s="282">
        <f t="shared" si="7"/>
        <v>0</v>
      </c>
      <c r="Y177" s="282"/>
      <c r="Z177" s="282"/>
      <c r="AB177" s="284" t="str">
        <f t="shared" si="8"/>
        <v>TinMitsubishi Materials Corporation</v>
      </c>
    </row>
    <row r="178" spans="1:28" s="283" customFormat="1" ht="37.9" customHeight="1">
      <c r="A178" s="235" t="s">
        <v>3036</v>
      </c>
      <c r="B178" s="236" t="s">
        <v>1264</v>
      </c>
      <c r="C178" s="242" t="s">
        <v>2993</v>
      </c>
      <c r="D178" s="236"/>
      <c r="E178" s="236" t="s">
        <v>1248</v>
      </c>
      <c r="F178" s="236" t="s">
        <v>3036</v>
      </c>
      <c r="G178" s="236" t="s">
        <v>14672</v>
      </c>
      <c r="H178" s="237"/>
      <c r="I178" s="238" t="s">
        <v>3040</v>
      </c>
      <c r="J178" s="238" t="s">
        <v>3041</v>
      </c>
      <c r="K178" s="240"/>
      <c r="L178" s="240"/>
      <c r="M178" s="240"/>
      <c r="N178" s="240"/>
      <c r="O178" s="240"/>
      <c r="P178" s="239" t="s">
        <v>15440</v>
      </c>
      <c r="Q178" s="241"/>
      <c r="R178" s="236" t="str">
        <f ca="1">IF(ISERROR($V178),"",OFFSET('Smelter Look-up'!$C$4,$V178-4,0)&amp;"")</f>
        <v>Modeltech Sdn Bhd</v>
      </c>
      <c r="S178" s="250" t="str">
        <f t="shared" ca="1" si="6"/>
        <v>MY</v>
      </c>
      <c r="T178" s="250" t="str">
        <f ca="1">IF(B178="","",IF(ISERROR(MATCH($J178,SorP!$B$1:$B$6230,0)),"",INDIRECT("'SorP'!$A$"&amp;MATCH($J178,SorP!$B$1:$B$6230,0))))</f>
        <v>MY-04</v>
      </c>
      <c r="U178" s="280"/>
      <c r="V178" s="281">
        <f>IF(C178="",NA(),MATCH($B178&amp;$C178,'Smelter Look-up'!$J:$J,0))</f>
        <v>430</v>
      </c>
      <c r="W178" s="282"/>
      <c r="X178" s="282">
        <f t="shared" si="7"/>
        <v>0</v>
      </c>
      <c r="Y178" s="282"/>
      <c r="Z178" s="282"/>
      <c r="AB178" s="284" t="str">
        <f t="shared" si="8"/>
        <v>TinModeltech Sdn Bhd</v>
      </c>
    </row>
    <row r="179" spans="1:28" s="283" customFormat="1" ht="100.9" customHeight="1">
      <c r="A179" s="235" t="s">
        <v>2119</v>
      </c>
      <c r="B179" s="236" t="s">
        <v>1264</v>
      </c>
      <c r="C179" s="242" t="s">
        <v>2118</v>
      </c>
      <c r="D179" s="236"/>
      <c r="E179" s="236" t="s">
        <v>1020</v>
      </c>
      <c r="F179" s="236" t="s">
        <v>2119</v>
      </c>
      <c r="G179" s="236" t="s">
        <v>14672</v>
      </c>
      <c r="H179" s="237"/>
      <c r="I179" s="238" t="s">
        <v>2120</v>
      </c>
      <c r="J179" s="238" t="s">
        <v>13279</v>
      </c>
      <c r="K179" s="240"/>
      <c r="L179" s="240"/>
      <c r="M179" s="240"/>
      <c r="N179" s="240"/>
      <c r="O179" s="240"/>
      <c r="P179" s="239" t="s">
        <v>15440</v>
      </c>
      <c r="Q179" s="241"/>
      <c r="R179" s="236" t="str">
        <f ca="1">IF(ISERROR($V179),"",OFFSET('Smelter Look-up'!$C$4,$V179-4,0)&amp;"")</f>
        <v>Nghe Tinh Non-Ferrous Metals Joint Stock Company</v>
      </c>
      <c r="S179" s="250" t="str">
        <f t="shared" ca="1" si="6"/>
        <v>VN</v>
      </c>
      <c r="T179" s="250" t="str">
        <f ca="1">IF(B179="","",IF(ISERROR(MATCH($J179,SorP!$B$1:$B$6230,0)),"",INDIRECT("'SorP'!$A$"&amp;MATCH($J179,SorP!$B$1:$B$6230,0))))</f>
        <v>VN-22</v>
      </c>
      <c r="U179" s="280"/>
      <c r="V179" s="281">
        <f>IF(C179="",NA(),MATCH($B179&amp;$C179,'Smelter Look-up'!$J:$J,0))</f>
        <v>434</v>
      </c>
      <c r="W179" s="282"/>
      <c r="X179" s="282">
        <f t="shared" si="7"/>
        <v>0</v>
      </c>
      <c r="Y179" s="282"/>
      <c r="Z179" s="282"/>
      <c r="AB179" s="284" t="str">
        <f t="shared" si="8"/>
        <v>TinNghe Tinh Non-Ferrous Metals Joint Stock Company</v>
      </c>
    </row>
    <row r="180" spans="1:28" s="283" customFormat="1" ht="75.599999999999994" customHeight="1">
      <c r="A180" s="235" t="s">
        <v>887</v>
      </c>
      <c r="B180" s="236" t="s">
        <v>1264</v>
      </c>
      <c r="C180" s="242" t="s">
        <v>886</v>
      </c>
      <c r="D180" s="236"/>
      <c r="E180" s="236" t="s">
        <v>1016</v>
      </c>
      <c r="F180" s="236" t="s">
        <v>887</v>
      </c>
      <c r="G180" s="236" t="s">
        <v>14672</v>
      </c>
      <c r="H180" s="237"/>
      <c r="I180" s="238" t="s">
        <v>3031</v>
      </c>
      <c r="J180" s="238" t="s">
        <v>12174</v>
      </c>
      <c r="K180" s="240"/>
      <c r="L180" s="240"/>
      <c r="M180" s="240"/>
      <c r="N180" s="240"/>
      <c r="O180" s="240"/>
      <c r="P180" s="239" t="s">
        <v>15440</v>
      </c>
      <c r="Q180" s="241"/>
      <c r="R180" s="236" t="str">
        <f ca="1">IF(ISERROR($V180),"",OFFSET('Smelter Look-up'!$C$4,$V180-4,0)&amp;"")</f>
        <v>O.M. Manufacturing (Thailand) Co., Ltd.</v>
      </c>
      <c r="S180" s="250" t="str">
        <f t="shared" ca="1" si="6"/>
        <v>TH</v>
      </c>
      <c r="T180" s="250" t="str">
        <f ca="1">IF(B180="","",IF(ISERROR(MATCH($J180,SorP!$B$1:$B$6230,0)),"",INDIRECT("'SorP'!$A$"&amp;MATCH($J180,SorP!$B$1:$B$6230,0))))</f>
        <v>TH-20</v>
      </c>
      <c r="U180" s="280"/>
      <c r="V180" s="281">
        <f>IF(C180="",NA(),MATCH($B180&amp;$C180,'Smelter Look-up'!$J:$J,0))</f>
        <v>435</v>
      </c>
      <c r="W180" s="282"/>
      <c r="X180" s="282">
        <f t="shared" si="7"/>
        <v>0</v>
      </c>
      <c r="Y180" s="282"/>
      <c r="Z180" s="282"/>
      <c r="AB180" s="284" t="str">
        <f t="shared" si="8"/>
        <v>TinO.M. Manufacturing (Thailand) Co., Ltd.</v>
      </c>
    </row>
    <row r="181" spans="1:28" s="283" customFormat="1" ht="63" customHeight="1">
      <c r="A181" s="235" t="s">
        <v>1562</v>
      </c>
      <c r="B181" s="236" t="s">
        <v>1264</v>
      </c>
      <c r="C181" s="242" t="s">
        <v>1561</v>
      </c>
      <c r="D181" s="236"/>
      <c r="E181" s="236" t="s">
        <v>1009</v>
      </c>
      <c r="F181" s="236" t="s">
        <v>1562</v>
      </c>
      <c r="G181" s="236" t="s">
        <v>14672</v>
      </c>
      <c r="H181" s="237"/>
      <c r="I181" s="238" t="s">
        <v>14328</v>
      </c>
      <c r="J181" s="238" t="s">
        <v>10579</v>
      </c>
      <c r="K181" s="240"/>
      <c r="L181" s="240"/>
      <c r="M181" s="240"/>
      <c r="N181" s="240"/>
      <c r="O181" s="240"/>
      <c r="P181" s="239" t="s">
        <v>15440</v>
      </c>
      <c r="Q181" s="241"/>
      <c r="R181" s="236" t="str">
        <f ca="1">IF(ISERROR($V181),"",OFFSET('Smelter Look-up'!$C$4,$V181-4,0)&amp;"")</f>
        <v>O.M. Manufacturing Philippines, Inc.</v>
      </c>
      <c r="S181" s="250" t="str">
        <f t="shared" ca="1" si="6"/>
        <v>PH</v>
      </c>
      <c r="T181" s="250" t="str">
        <f ca="1">IF(B181="","",IF(ISERROR(MATCH($J181,SorP!$B$1:$B$6230,0)),"",INDIRECT("'SorP'!$A$"&amp;MATCH($J181,SorP!$B$1:$B$6230,0))))</f>
        <v>PH-CAV</v>
      </c>
      <c r="U181" s="280"/>
      <c r="V181" s="281">
        <f>IF(C181="",NA(),MATCH($B181&amp;$C181,'Smelter Look-up'!$J:$J,0))</f>
        <v>436</v>
      </c>
      <c r="W181" s="282"/>
      <c r="X181" s="282">
        <f t="shared" si="7"/>
        <v>0</v>
      </c>
      <c r="Y181" s="282"/>
      <c r="Z181" s="282"/>
      <c r="AB181" s="284" t="str">
        <f t="shared" si="8"/>
        <v>TinO.M. Manufacturing Philippines, Inc.</v>
      </c>
    </row>
    <row r="182" spans="1:28" s="283" customFormat="1" ht="50.45" customHeight="1">
      <c r="A182" s="235" t="s">
        <v>888</v>
      </c>
      <c r="B182" s="236" t="s">
        <v>1264</v>
      </c>
      <c r="C182" s="242" t="s">
        <v>2092</v>
      </c>
      <c r="D182" s="236"/>
      <c r="E182" s="236" t="s">
        <v>3151</v>
      </c>
      <c r="F182" s="236" t="s">
        <v>888</v>
      </c>
      <c r="G182" s="236" t="s">
        <v>14672</v>
      </c>
      <c r="H182" s="237"/>
      <c r="I182" s="238" t="s">
        <v>2069</v>
      </c>
      <c r="J182" s="238" t="s">
        <v>2069</v>
      </c>
      <c r="K182" s="240"/>
      <c r="L182" s="240"/>
      <c r="M182" s="240"/>
      <c r="N182" s="240"/>
      <c r="O182" s="240"/>
      <c r="P182" s="239" t="s">
        <v>15440</v>
      </c>
      <c r="Q182" s="241"/>
      <c r="R182" s="236" t="str">
        <f ca="1">IF(ISERROR($V182),"",OFFSET('Smelter Look-up'!$C$4,$V182-4,0)&amp;"")</f>
        <v>Operaciones Metalurgical S.A.</v>
      </c>
      <c r="S182" s="250" t="str">
        <f t="shared" ca="1" si="6"/>
        <v>BO</v>
      </c>
      <c r="T182" s="250" t="str">
        <f ca="1">IF(B182="","",IF(ISERROR(MATCH($J182,SorP!$B$1:$B$6230,0)),"",INDIRECT("'SorP'!$A$"&amp;MATCH($J182,SorP!$B$1:$B$6230,0))))</f>
        <v>BO-O</v>
      </c>
      <c r="U182" s="280"/>
      <c r="V182" s="281">
        <f>IF(C182="",NA(),MATCH($B182&amp;$C182,'Smelter Look-up'!$J:$J,0))</f>
        <v>438</v>
      </c>
      <c r="W182" s="282"/>
      <c r="X182" s="282">
        <f t="shared" si="7"/>
        <v>0</v>
      </c>
      <c r="Y182" s="282"/>
      <c r="Z182" s="282"/>
      <c r="AB182" s="284" t="str">
        <f t="shared" si="8"/>
        <v>TinOperaciones Metalurgical S.A.</v>
      </c>
    </row>
    <row r="183" spans="1:28" s="283" customFormat="1" ht="63" customHeight="1">
      <c r="A183" s="235" t="s">
        <v>1535</v>
      </c>
      <c r="B183" s="236" t="s">
        <v>1264</v>
      </c>
      <c r="C183" s="242" t="s">
        <v>2707</v>
      </c>
      <c r="D183" s="236"/>
      <c r="E183" s="236" t="s">
        <v>1238</v>
      </c>
      <c r="F183" s="236" t="s">
        <v>1535</v>
      </c>
      <c r="G183" s="236" t="s">
        <v>14672</v>
      </c>
      <c r="H183" s="237"/>
      <c r="I183" s="238" t="s">
        <v>2065</v>
      </c>
      <c r="J183" s="347" t="s">
        <v>14221</v>
      </c>
      <c r="K183" s="345"/>
      <c r="L183" s="240"/>
      <c r="M183" s="240"/>
      <c r="N183" s="240"/>
      <c r="O183" s="240"/>
      <c r="P183" s="239" t="s">
        <v>15440</v>
      </c>
      <c r="Q183" s="241"/>
      <c r="R183" s="236" t="str">
        <f ca="1">IF(ISERROR($V183),"",OFFSET('Smelter Look-up'!$C$4,$V183-4,0)&amp;"")</f>
        <v>PT Aries Kencana Sejahtera</v>
      </c>
      <c r="S183" s="250" t="str">
        <f t="shared" ca="1" si="6"/>
        <v>ID</v>
      </c>
      <c r="T183" s="250" t="str">
        <f ca="1">IF(B183="","",IF(ISERROR(MATCH($J183,SorP!$B$1:$B$6230,0)),"",INDIRECT("'SorP'!$A$"&amp;MATCH($J183,SorP!$B$1:$B$6230,0))))</f>
        <v>ID-BB</v>
      </c>
      <c r="U183" s="280"/>
      <c r="V183" s="281">
        <f>IF(C183="",NA(),MATCH($B183&amp;$C183,'Smelter Look-up'!$J:$J,0))</f>
        <v>441</v>
      </c>
      <c r="W183" s="282"/>
      <c r="X183" s="282">
        <f t="shared" si="7"/>
        <v>0</v>
      </c>
      <c r="Y183" s="282"/>
      <c r="Z183" s="282"/>
      <c r="AB183" s="284" t="str">
        <f t="shared" si="8"/>
        <v>TinPT Aries Kencana Sejahtera</v>
      </c>
    </row>
    <row r="184" spans="1:28" s="283" customFormat="1" ht="63" customHeight="1">
      <c r="A184" s="235" t="s">
        <v>889</v>
      </c>
      <c r="B184" s="236" t="s">
        <v>1264</v>
      </c>
      <c r="C184" s="242" t="s">
        <v>971</v>
      </c>
      <c r="D184" s="236"/>
      <c r="E184" s="236" t="s">
        <v>1238</v>
      </c>
      <c r="F184" s="236" t="s">
        <v>889</v>
      </c>
      <c r="G184" s="236" t="s">
        <v>14672</v>
      </c>
      <c r="H184" s="237"/>
      <c r="I184" s="238" t="s">
        <v>2065</v>
      </c>
      <c r="J184" s="347" t="s">
        <v>14221</v>
      </c>
      <c r="K184" s="345"/>
      <c r="L184" s="240"/>
      <c r="M184" s="240"/>
      <c r="N184" s="240"/>
      <c r="O184" s="240"/>
      <c r="P184" s="239" t="s">
        <v>15440</v>
      </c>
      <c r="Q184" s="241"/>
      <c r="R184" s="236" t="str">
        <f ca="1">IF(ISERROR($V184),"",OFFSET('Smelter Look-up'!$C$4,$V184-4,0)&amp;"")</f>
        <v>PT Artha Cipta Langgeng</v>
      </c>
      <c r="S184" s="250" t="str">
        <f t="shared" ca="1" si="6"/>
        <v>ID</v>
      </c>
      <c r="T184" s="250" t="str">
        <f ca="1">IF(B184="","",IF(ISERROR(MATCH($J184,SorP!$B$1:$B$6230,0)),"",INDIRECT("'SorP'!$A$"&amp;MATCH($J184,SorP!$B$1:$B$6230,0))))</f>
        <v>ID-BB</v>
      </c>
      <c r="U184" s="280"/>
      <c r="V184" s="281">
        <f>IF(C184="",NA(),MATCH($B184&amp;$C184,'Smelter Look-up'!$J:$J,0))</f>
        <v>442</v>
      </c>
      <c r="W184" s="282"/>
      <c r="X184" s="282">
        <f t="shared" si="7"/>
        <v>0</v>
      </c>
      <c r="Y184" s="282"/>
      <c r="Z184" s="282"/>
      <c r="AB184" s="284" t="str">
        <f t="shared" si="8"/>
        <v>TinPT Artha Cipta Langgeng</v>
      </c>
    </row>
    <row r="185" spans="1:28" s="283" customFormat="1" ht="63" customHeight="1">
      <c r="A185" s="235" t="s">
        <v>1564</v>
      </c>
      <c r="B185" s="236" t="s">
        <v>1264</v>
      </c>
      <c r="C185" s="242" t="s">
        <v>1563</v>
      </c>
      <c r="D185" s="236"/>
      <c r="E185" s="236" t="s">
        <v>1238</v>
      </c>
      <c r="F185" s="236" t="s">
        <v>1564</v>
      </c>
      <c r="G185" s="236" t="s">
        <v>14672</v>
      </c>
      <c r="H185" s="237"/>
      <c r="I185" s="238" t="s">
        <v>2065</v>
      </c>
      <c r="J185" s="347" t="s">
        <v>14221</v>
      </c>
      <c r="K185" s="345"/>
      <c r="L185" s="240"/>
      <c r="M185" s="240"/>
      <c r="N185" s="240"/>
      <c r="O185" s="240"/>
      <c r="P185" s="239" t="s">
        <v>15440</v>
      </c>
      <c r="Q185" s="241"/>
      <c r="R185" s="236" t="str">
        <f ca="1">IF(ISERROR($V185),"",OFFSET('Smelter Look-up'!$C$4,$V185-4,0)&amp;"")</f>
        <v>PT ATD Makmur Mandiri Jaya</v>
      </c>
      <c r="S185" s="250" t="str">
        <f t="shared" ca="1" si="6"/>
        <v>ID</v>
      </c>
      <c r="T185" s="250" t="str">
        <f ca="1">IF(B185="","",IF(ISERROR(MATCH($J185,SorP!$B$1:$B$6230,0)),"",INDIRECT("'SorP'!$A$"&amp;MATCH($J185,SorP!$B$1:$B$6230,0))))</f>
        <v>ID-BB</v>
      </c>
      <c r="U185" s="280"/>
      <c r="V185" s="281">
        <f>IF(C185="",NA(),MATCH($B185&amp;$C185,'Smelter Look-up'!$J:$J,0))</f>
        <v>443</v>
      </c>
      <c r="W185" s="282"/>
      <c r="X185" s="282">
        <f t="shared" si="7"/>
        <v>0</v>
      </c>
      <c r="Y185" s="282"/>
      <c r="Z185" s="282"/>
      <c r="AB185" s="284" t="str">
        <f t="shared" si="8"/>
        <v>TinPT ATD Makmur Mandiri Jaya</v>
      </c>
    </row>
    <row r="186" spans="1:28" s="283" customFormat="1" ht="50.45" customHeight="1">
      <c r="A186" s="235" t="s">
        <v>890</v>
      </c>
      <c r="B186" s="236" t="s">
        <v>1264</v>
      </c>
      <c r="C186" s="242" t="s">
        <v>972</v>
      </c>
      <c r="D186" s="236"/>
      <c r="E186" s="236" t="s">
        <v>1238</v>
      </c>
      <c r="F186" s="236" t="s">
        <v>890</v>
      </c>
      <c r="G186" s="236" t="s">
        <v>14672</v>
      </c>
      <c r="H186" s="237"/>
      <c r="I186" s="238" t="s">
        <v>2093</v>
      </c>
      <c r="J186" s="347" t="s">
        <v>14221</v>
      </c>
      <c r="K186" s="345"/>
      <c r="L186" s="240"/>
      <c r="M186" s="240"/>
      <c r="N186" s="240"/>
      <c r="O186" s="240"/>
      <c r="P186" s="239" t="s">
        <v>15440</v>
      </c>
      <c r="Q186" s="241"/>
      <c r="R186" s="236" t="str">
        <f ca="1">IF(ISERROR($V186),"",OFFSET('Smelter Look-up'!$C$4,$V186-4,0)&amp;"")</f>
        <v>PT Babel Inti Perkasa</v>
      </c>
      <c r="S186" s="250" t="str">
        <f t="shared" ca="1" si="6"/>
        <v>ID</v>
      </c>
      <c r="T186" s="250" t="str">
        <f ca="1">IF(B186="","",IF(ISERROR(MATCH($J186,SorP!$B$1:$B$6230,0)),"",INDIRECT("'SorP'!$A$"&amp;MATCH($J186,SorP!$B$1:$B$6230,0))))</f>
        <v>ID-BB</v>
      </c>
      <c r="U186" s="280"/>
      <c r="V186" s="281">
        <f>IF(C186="",NA(),MATCH($B186&amp;$C186,'Smelter Look-up'!$J:$J,0))</f>
        <v>444</v>
      </c>
      <c r="W186" s="282"/>
      <c r="X186" s="282">
        <f t="shared" si="7"/>
        <v>0</v>
      </c>
      <c r="Y186" s="282"/>
      <c r="Z186" s="282"/>
      <c r="AB186" s="284" t="str">
        <f t="shared" si="8"/>
        <v>TinPT Babel Inti Perkasa</v>
      </c>
    </row>
    <row r="187" spans="1:28" s="283" customFormat="1" ht="50.45" customHeight="1">
      <c r="A187" s="235" t="s">
        <v>2696</v>
      </c>
      <c r="B187" s="236" t="s">
        <v>1264</v>
      </c>
      <c r="C187" s="242" t="s">
        <v>2695</v>
      </c>
      <c r="D187" s="236"/>
      <c r="E187" s="236" t="s">
        <v>1238</v>
      </c>
      <c r="F187" s="236" t="s">
        <v>2696</v>
      </c>
      <c r="G187" s="236" t="s">
        <v>14672</v>
      </c>
      <c r="H187" s="237"/>
      <c r="I187" s="238" t="s">
        <v>14329</v>
      </c>
      <c r="J187" s="347" t="s">
        <v>14221</v>
      </c>
      <c r="K187" s="345"/>
      <c r="L187" s="240"/>
      <c r="M187" s="240"/>
      <c r="N187" s="240"/>
      <c r="O187" s="240"/>
      <c r="P187" s="239" t="s">
        <v>15440</v>
      </c>
      <c r="Q187" s="241"/>
      <c r="R187" s="236" t="str">
        <f ca="1">IF(ISERROR($V187),"",OFFSET('Smelter Look-up'!$C$4,$V187-4,0)&amp;"")</f>
        <v>PT Bangka Prima Tin</v>
      </c>
      <c r="S187" s="250" t="str">
        <f t="shared" ref="S187:S250" ca="1" si="9">IF(B187="","",IF(ISERROR(MATCH($E187,CL,0)),"Unknown",INDIRECT("'C'!$A$"&amp;MATCH($E187,CL,0)+1)))</f>
        <v>ID</v>
      </c>
      <c r="T187" s="250" t="str">
        <f ca="1">IF(B187="","",IF(ISERROR(MATCH($J187,SorP!$B$1:$B$6230,0)),"",INDIRECT("'SorP'!$A$"&amp;MATCH($J187,SorP!$B$1:$B$6230,0))))</f>
        <v>ID-BB</v>
      </c>
      <c r="U187" s="280"/>
      <c r="V187" s="281">
        <f>IF(C187="",NA(),MATCH($B187&amp;$C187,'Smelter Look-up'!$J:$J,0))</f>
        <v>445</v>
      </c>
      <c r="W187" s="282"/>
      <c r="X187" s="282">
        <f t="shared" ref="X187:X250" si="10">IF(AND(C187="Smelter not listed",OR(LEN(D187)=0,LEN(E187)=0)),1,0)</f>
        <v>0</v>
      </c>
      <c r="Y187" s="282"/>
      <c r="Z187" s="282"/>
      <c r="AB187" s="284" t="str">
        <f t="shared" ref="AB187:AB250" si="11">B187&amp;C187</f>
        <v>TinPT Bangka Prima Tin</v>
      </c>
    </row>
    <row r="188" spans="1:28" s="283" customFormat="1" ht="50.45" customHeight="1">
      <c r="A188" s="235" t="s">
        <v>14321</v>
      </c>
      <c r="B188" s="236" t="s">
        <v>1264</v>
      </c>
      <c r="C188" s="242" t="s">
        <v>14320</v>
      </c>
      <c r="D188" s="236"/>
      <c r="E188" s="236" t="s">
        <v>1238</v>
      </c>
      <c r="F188" s="236" t="s">
        <v>14321</v>
      </c>
      <c r="G188" s="236" t="s">
        <v>14672</v>
      </c>
      <c r="H188" s="237"/>
      <c r="I188" s="238" t="s">
        <v>14330</v>
      </c>
      <c r="J188" s="347" t="s">
        <v>14221</v>
      </c>
      <c r="K188" s="345"/>
      <c r="L188" s="240"/>
      <c r="M188" s="240"/>
      <c r="N188" s="240"/>
      <c r="O188" s="240"/>
      <c r="P188" s="239" t="s">
        <v>15440</v>
      </c>
      <c r="Q188" s="241"/>
      <c r="R188" s="236" t="str">
        <f ca="1">IF(ISERROR($V188),"",OFFSET('Smelter Look-up'!$C$4,$V188-4,0)&amp;"")</f>
        <v>PT Bangka Serumpun</v>
      </c>
      <c r="S188" s="250" t="str">
        <f t="shared" ca="1" si="9"/>
        <v>ID</v>
      </c>
      <c r="T188" s="250" t="str">
        <f ca="1">IF(B188="","",IF(ISERROR(MATCH($J188,SorP!$B$1:$B$6230,0)),"",INDIRECT("'SorP'!$A$"&amp;MATCH($J188,SorP!$B$1:$B$6230,0))))</f>
        <v>ID-BB</v>
      </c>
      <c r="U188" s="280"/>
      <c r="V188" s="281">
        <f>IF(C188="",NA(),MATCH($B188&amp;$C188,'Smelter Look-up'!$J:$J,0))</f>
        <v>446</v>
      </c>
      <c r="W188" s="282"/>
      <c r="X188" s="282">
        <f t="shared" si="10"/>
        <v>0</v>
      </c>
      <c r="Y188" s="282"/>
      <c r="Z188" s="282"/>
      <c r="AB188" s="284" t="str">
        <f t="shared" si="11"/>
        <v>TinPT Bangka Serumpun</v>
      </c>
    </row>
    <row r="189" spans="1:28" s="283" customFormat="1" ht="50.45" customHeight="1">
      <c r="A189" s="235" t="s">
        <v>891</v>
      </c>
      <c r="B189" s="236" t="s">
        <v>1264</v>
      </c>
      <c r="C189" s="242" t="s">
        <v>702</v>
      </c>
      <c r="D189" s="236"/>
      <c r="E189" s="236" t="s">
        <v>1238</v>
      </c>
      <c r="F189" s="236" t="s">
        <v>891</v>
      </c>
      <c r="G189" s="236" t="s">
        <v>14672</v>
      </c>
      <c r="H189" s="237"/>
      <c r="I189" s="238" t="s">
        <v>2065</v>
      </c>
      <c r="J189" s="347" t="s">
        <v>14221</v>
      </c>
      <c r="K189" s="345"/>
      <c r="L189" s="240"/>
      <c r="M189" s="240"/>
      <c r="N189" s="240"/>
      <c r="O189" s="240"/>
      <c r="P189" s="239" t="s">
        <v>15440</v>
      </c>
      <c r="Q189" s="241"/>
      <c r="R189" s="236" t="str">
        <f ca="1">IF(ISERROR($V189),"",OFFSET('Smelter Look-up'!$C$4,$V189-4,0)&amp;"")</f>
        <v>PT Bangka Tin Industry</v>
      </c>
      <c r="S189" s="250" t="str">
        <f t="shared" ca="1" si="9"/>
        <v>ID</v>
      </c>
      <c r="T189" s="250" t="str">
        <f ca="1">IF(B189="","",IF(ISERROR(MATCH($J189,SorP!$B$1:$B$6230,0)),"",INDIRECT("'SorP'!$A$"&amp;MATCH($J189,SorP!$B$1:$B$6230,0))))</f>
        <v>ID-BB</v>
      </c>
      <c r="U189" s="280"/>
      <c r="V189" s="281">
        <f>IF(C189="",NA(),MATCH($B189&amp;$C189,'Smelter Look-up'!$J:$J,0))</f>
        <v>447</v>
      </c>
      <c r="W189" s="282"/>
      <c r="X189" s="282">
        <f t="shared" si="10"/>
        <v>0</v>
      </c>
      <c r="Y189" s="282"/>
      <c r="Z189" s="282"/>
      <c r="AB189" s="284" t="str">
        <f t="shared" si="11"/>
        <v>TinPT Bangka Tin Industry</v>
      </c>
    </row>
    <row r="190" spans="1:28" s="283" customFormat="1" ht="63" customHeight="1">
      <c r="A190" s="235" t="s">
        <v>892</v>
      </c>
      <c r="B190" s="236" t="s">
        <v>1264</v>
      </c>
      <c r="C190" s="242" t="s">
        <v>14560</v>
      </c>
      <c r="D190" s="236"/>
      <c r="E190" s="236" t="s">
        <v>1238</v>
      </c>
      <c r="F190" s="236" t="s">
        <v>892</v>
      </c>
      <c r="G190" s="236" t="s">
        <v>14672</v>
      </c>
      <c r="H190" s="237"/>
      <c r="I190" s="238" t="s">
        <v>14331</v>
      </c>
      <c r="J190" s="347" t="s">
        <v>14221</v>
      </c>
      <c r="K190" s="345"/>
      <c r="L190" s="240"/>
      <c r="M190" s="240"/>
      <c r="N190" s="240"/>
      <c r="O190" s="240"/>
      <c r="P190" s="239" t="s">
        <v>15440</v>
      </c>
      <c r="Q190" s="241"/>
      <c r="R190" s="236" t="str">
        <f ca="1">IF(ISERROR($V190),"",OFFSET('Smelter Look-up'!$C$4,$V190-4,0)&amp;"")</f>
        <v>PT Belitung Industri Sejahtera</v>
      </c>
      <c r="S190" s="250" t="str">
        <f t="shared" ca="1" si="9"/>
        <v>ID</v>
      </c>
      <c r="T190" s="250" t="str">
        <f ca="1">IF(B190="","",IF(ISERROR(MATCH($J190,SorP!$B$1:$B$6230,0)),"",INDIRECT("'SorP'!$A$"&amp;MATCH($J190,SorP!$B$1:$B$6230,0))))</f>
        <v>ID-BB</v>
      </c>
      <c r="U190" s="280"/>
      <c r="V190" s="281">
        <f>IF(C190="",NA(),MATCH($B190&amp;$C190,'Smelter Look-up'!$J:$J,0))</f>
        <v>448</v>
      </c>
      <c r="W190" s="282"/>
      <c r="X190" s="282">
        <f t="shared" si="10"/>
        <v>0</v>
      </c>
      <c r="Y190" s="282"/>
      <c r="Z190" s="282"/>
      <c r="AB190" s="284" t="str">
        <f t="shared" si="11"/>
        <v>TinPT Belitung Industri Sejahtera</v>
      </c>
    </row>
    <row r="191" spans="1:28" s="283" customFormat="1" ht="37.9" customHeight="1">
      <c r="A191" s="235" t="s">
        <v>893</v>
      </c>
      <c r="B191" s="236" t="s">
        <v>1264</v>
      </c>
      <c r="C191" s="242" t="s">
        <v>721</v>
      </c>
      <c r="D191" s="236"/>
      <c r="E191" s="236" t="s">
        <v>1238</v>
      </c>
      <c r="F191" s="236" t="s">
        <v>893</v>
      </c>
      <c r="G191" s="236" t="s">
        <v>14672</v>
      </c>
      <c r="H191" s="237"/>
      <c r="I191" s="238" t="s">
        <v>2067</v>
      </c>
      <c r="J191" s="347" t="s">
        <v>14221</v>
      </c>
      <c r="K191" s="345"/>
      <c r="L191" s="240"/>
      <c r="M191" s="240"/>
      <c r="N191" s="240"/>
      <c r="O191" s="240"/>
      <c r="P191" s="239" t="s">
        <v>15440</v>
      </c>
      <c r="Q191" s="241"/>
      <c r="R191" s="236" t="str">
        <f ca="1">IF(ISERROR($V191),"",OFFSET('Smelter Look-up'!$C$4,$V191-4,0)&amp;"")</f>
        <v>PT Bukit Timah</v>
      </c>
      <c r="S191" s="250" t="str">
        <f t="shared" ca="1" si="9"/>
        <v>ID</v>
      </c>
      <c r="T191" s="250" t="str">
        <f ca="1">IF(B191="","",IF(ISERROR(MATCH($J191,SorP!$B$1:$B$6230,0)),"",INDIRECT("'SorP'!$A$"&amp;MATCH($J191,SorP!$B$1:$B$6230,0))))</f>
        <v>ID-BB</v>
      </c>
      <c r="U191" s="280"/>
      <c r="V191" s="281">
        <f>IF(C191="",NA(),MATCH($B191&amp;$C191,'Smelter Look-up'!$J:$J,0))</f>
        <v>449</v>
      </c>
      <c r="W191" s="282"/>
      <c r="X191" s="282">
        <f t="shared" si="10"/>
        <v>0</v>
      </c>
      <c r="Y191" s="282"/>
      <c r="Z191" s="282"/>
      <c r="AB191" s="284" t="str">
        <f t="shared" si="11"/>
        <v>TinPT Bukit Timah</v>
      </c>
    </row>
    <row r="192" spans="1:28" s="283" customFormat="1" ht="37.9" customHeight="1">
      <c r="A192" s="235" t="s">
        <v>894</v>
      </c>
      <c r="B192" s="236" t="s">
        <v>1264</v>
      </c>
      <c r="C192" s="242" t="s">
        <v>703</v>
      </c>
      <c r="D192" s="236"/>
      <c r="E192" s="236" t="s">
        <v>1238</v>
      </c>
      <c r="F192" s="236" t="s">
        <v>894</v>
      </c>
      <c r="G192" s="236" t="s">
        <v>14672</v>
      </c>
      <c r="H192" s="237"/>
      <c r="I192" s="238" t="s">
        <v>2067</v>
      </c>
      <c r="J192" s="347" t="s">
        <v>14221</v>
      </c>
      <c r="K192" s="345"/>
      <c r="L192" s="240"/>
      <c r="M192" s="240"/>
      <c r="N192" s="240"/>
      <c r="O192" s="240"/>
      <c r="P192" s="239" t="s">
        <v>15440</v>
      </c>
      <c r="Q192" s="241"/>
      <c r="R192" s="236" t="str">
        <f ca="1">IF(ISERROR($V192),"",OFFSET('Smelter Look-up'!$C$4,$V192-4,0)&amp;"")</f>
        <v>PT DS Jaya Abadi</v>
      </c>
      <c r="S192" s="250" t="str">
        <f t="shared" ca="1" si="9"/>
        <v>ID</v>
      </c>
      <c r="T192" s="250" t="str">
        <f ca="1">IF(B192="","",IF(ISERROR(MATCH($J192,SorP!$B$1:$B$6230,0)),"",INDIRECT("'SorP'!$A$"&amp;MATCH($J192,SorP!$B$1:$B$6230,0))))</f>
        <v>ID-BB</v>
      </c>
      <c r="U192" s="280"/>
      <c r="V192" s="281">
        <f>IF(C192="",NA(),MATCH($B192&amp;$C192,'Smelter Look-up'!$J:$J,0))</f>
        <v>450</v>
      </c>
      <c r="W192" s="282"/>
      <c r="X192" s="282">
        <f t="shared" si="10"/>
        <v>0</v>
      </c>
      <c r="Y192" s="282"/>
      <c r="Z192" s="282"/>
      <c r="AB192" s="284" t="str">
        <f t="shared" si="11"/>
        <v>TinPT DS Jaya Abadi</v>
      </c>
    </row>
    <row r="193" spans="1:28" s="283" customFormat="1" ht="50.45" customHeight="1">
      <c r="A193" s="235" t="s">
        <v>895</v>
      </c>
      <c r="B193" s="236" t="s">
        <v>1264</v>
      </c>
      <c r="C193" s="242" t="s">
        <v>722</v>
      </c>
      <c r="D193" s="236"/>
      <c r="E193" s="236" t="s">
        <v>1238</v>
      </c>
      <c r="F193" s="236" t="s">
        <v>895</v>
      </c>
      <c r="G193" s="236" t="s">
        <v>14672</v>
      </c>
      <c r="H193" s="237"/>
      <c r="I193" s="238" t="s">
        <v>2096</v>
      </c>
      <c r="J193" s="347" t="s">
        <v>2095</v>
      </c>
      <c r="K193" s="345"/>
      <c r="L193" s="240"/>
      <c r="M193" s="240"/>
      <c r="N193" s="240"/>
      <c r="O193" s="240"/>
      <c r="P193" s="239" t="s">
        <v>15440</v>
      </c>
      <c r="Q193" s="241"/>
      <c r="R193" s="236" t="str">
        <f ca="1">IF(ISERROR($V193),"",OFFSET('Smelter Look-up'!$C$4,$V193-4,0)&amp;"")</f>
        <v>PT Eunindo Usaha Mandiri</v>
      </c>
      <c r="S193" s="250" t="str">
        <f t="shared" ca="1" si="9"/>
        <v>ID</v>
      </c>
      <c r="T193" s="250" t="str">
        <f ca="1">IF(B193="","",IF(ISERROR(MATCH($J193,SorP!$B$1:$B$6230,0)),"",INDIRECT("'SorP'!$A$"&amp;MATCH($J193,SorP!$B$1:$B$6230,0))))</f>
        <v>ID-KR</v>
      </c>
      <c r="U193" s="280"/>
      <c r="V193" s="281">
        <f>IF(C193="",NA(),MATCH($B193&amp;$C193,'Smelter Look-up'!$J:$J,0))</f>
        <v>451</v>
      </c>
      <c r="W193" s="282"/>
      <c r="X193" s="282">
        <f t="shared" si="10"/>
        <v>0</v>
      </c>
      <c r="Y193" s="282"/>
      <c r="Z193" s="282"/>
      <c r="AB193" s="284" t="str">
        <f t="shared" si="11"/>
        <v>TinPT Eunindo Usaha Mandiri</v>
      </c>
    </row>
    <row r="194" spans="1:28" s="283" customFormat="1" ht="50.45" customHeight="1">
      <c r="A194" s="235" t="s">
        <v>1566</v>
      </c>
      <c r="B194" s="236" t="s">
        <v>1264</v>
      </c>
      <c r="C194" s="242" t="s">
        <v>1565</v>
      </c>
      <c r="D194" s="236"/>
      <c r="E194" s="236" t="s">
        <v>1238</v>
      </c>
      <c r="F194" s="236" t="s">
        <v>1566</v>
      </c>
      <c r="G194" s="236" t="s">
        <v>14672</v>
      </c>
      <c r="H194" s="237"/>
      <c r="I194" s="238" t="s">
        <v>2065</v>
      </c>
      <c r="J194" s="347" t="s">
        <v>14221</v>
      </c>
      <c r="K194" s="345"/>
      <c r="L194" s="240"/>
      <c r="M194" s="240"/>
      <c r="N194" s="240"/>
      <c r="O194" s="240"/>
      <c r="P194" s="239" t="s">
        <v>15440</v>
      </c>
      <c r="Q194" s="241"/>
      <c r="R194" s="236" t="str">
        <f ca="1">IF(ISERROR($V194),"",OFFSET('Smelter Look-up'!$C$4,$V194-4,0)&amp;"")</f>
        <v>PT Inti Stania Prima</v>
      </c>
      <c r="S194" s="250" t="str">
        <f t="shared" ca="1" si="9"/>
        <v>ID</v>
      </c>
      <c r="T194" s="250" t="str">
        <f ca="1">IF(B194="","",IF(ISERROR(MATCH($J194,SorP!$B$1:$B$6230,0)),"",INDIRECT("'SorP'!$A$"&amp;MATCH($J194,SorP!$B$1:$B$6230,0))))</f>
        <v>ID-BB</v>
      </c>
      <c r="U194" s="280"/>
      <c r="V194" s="281">
        <f>IF(C194="",NA(),MATCH($B194&amp;$C194,'Smelter Look-up'!$J:$J,0))</f>
        <v>454</v>
      </c>
      <c r="W194" s="282"/>
      <c r="X194" s="282">
        <f t="shared" si="10"/>
        <v>0</v>
      </c>
      <c r="Y194" s="282"/>
      <c r="Z194" s="282"/>
      <c r="AB194" s="284" t="str">
        <f t="shared" si="11"/>
        <v>TinPT Inti Stania Prima</v>
      </c>
    </row>
    <row r="195" spans="1:28" s="283" customFormat="1" ht="37.9" customHeight="1">
      <c r="A195" s="235" t="s">
        <v>896</v>
      </c>
      <c r="B195" s="236" t="s">
        <v>1264</v>
      </c>
      <c r="C195" s="242" t="s">
        <v>704</v>
      </c>
      <c r="D195" s="236"/>
      <c r="E195" s="236" t="s">
        <v>1238</v>
      </c>
      <c r="F195" s="236" t="s">
        <v>896</v>
      </c>
      <c r="G195" s="236" t="s">
        <v>14672</v>
      </c>
      <c r="H195" s="237"/>
      <c r="I195" s="238" t="s">
        <v>2096</v>
      </c>
      <c r="J195" s="347" t="s">
        <v>2095</v>
      </c>
      <c r="K195" s="345"/>
      <c r="L195" s="240"/>
      <c r="M195" s="240"/>
      <c r="N195" s="240"/>
      <c r="O195" s="240"/>
      <c r="P195" s="239" t="s">
        <v>15440</v>
      </c>
      <c r="Q195" s="241"/>
      <c r="R195" s="236" t="str">
        <f ca="1">IF(ISERROR($V195),"",OFFSET('Smelter Look-up'!$C$4,$V195-4,0)&amp;"")</f>
        <v>PT Karimun Mining</v>
      </c>
      <c r="S195" s="250" t="str">
        <f t="shared" ca="1" si="9"/>
        <v>ID</v>
      </c>
      <c r="T195" s="250" t="str">
        <f ca="1">IF(B195="","",IF(ISERROR(MATCH($J195,SorP!$B$1:$B$6230,0)),"",INDIRECT("'SorP'!$A$"&amp;MATCH($J195,SorP!$B$1:$B$6230,0))))</f>
        <v>ID-KR</v>
      </c>
      <c r="U195" s="280"/>
      <c r="V195" s="281">
        <f>IF(C195="",NA(),MATCH($B195&amp;$C195,'Smelter Look-up'!$J:$J,0))</f>
        <v>455</v>
      </c>
      <c r="W195" s="282"/>
      <c r="X195" s="282">
        <f t="shared" si="10"/>
        <v>0</v>
      </c>
      <c r="Y195" s="282"/>
      <c r="Z195" s="282"/>
      <c r="AB195" s="284" t="str">
        <f t="shared" si="11"/>
        <v>TinPT Karimun Mining</v>
      </c>
    </row>
    <row r="196" spans="1:28" s="283" customFormat="1" ht="50.45" customHeight="1">
      <c r="A196" s="235" t="s">
        <v>2772</v>
      </c>
      <c r="B196" s="236" t="s">
        <v>1264</v>
      </c>
      <c r="C196" s="242" t="s">
        <v>2771</v>
      </c>
      <c r="D196" s="236"/>
      <c r="E196" s="236" t="s">
        <v>1238</v>
      </c>
      <c r="F196" s="236" t="s">
        <v>2772</v>
      </c>
      <c r="G196" s="236" t="s">
        <v>14672</v>
      </c>
      <c r="H196" s="237"/>
      <c r="I196" s="238" t="s">
        <v>2065</v>
      </c>
      <c r="J196" s="347" t="s">
        <v>14221</v>
      </c>
      <c r="K196" s="345"/>
      <c r="L196" s="240"/>
      <c r="M196" s="240"/>
      <c r="N196" s="240"/>
      <c r="O196" s="240"/>
      <c r="P196" s="239" t="s">
        <v>15440</v>
      </c>
      <c r="Q196" s="241"/>
      <c r="R196" s="236" t="str">
        <f ca="1">IF(ISERROR($V196),"",OFFSET('Smelter Look-up'!$C$4,$V196-4,0)&amp;"")</f>
        <v>PT Kijang Jaya Mandiri</v>
      </c>
      <c r="S196" s="250" t="str">
        <f t="shared" ca="1" si="9"/>
        <v>ID</v>
      </c>
      <c r="T196" s="250" t="str">
        <f ca="1">IF(B196="","",IF(ISERROR(MATCH($J196,SorP!$B$1:$B$6230,0)),"",INDIRECT("'SorP'!$A$"&amp;MATCH($J196,SorP!$B$1:$B$6230,0))))</f>
        <v>ID-BB</v>
      </c>
      <c r="U196" s="280"/>
      <c r="V196" s="281">
        <f>IF(C196="",NA(),MATCH($B196&amp;$C196,'Smelter Look-up'!$J:$J,0))</f>
        <v>456</v>
      </c>
      <c r="W196" s="282"/>
      <c r="X196" s="282">
        <f t="shared" si="10"/>
        <v>0</v>
      </c>
      <c r="Y196" s="282"/>
      <c r="Z196" s="282"/>
      <c r="AB196" s="284" t="str">
        <f t="shared" si="11"/>
        <v>TinPT Kijang Jaya Mandiri</v>
      </c>
    </row>
    <row r="197" spans="1:28" s="283" customFormat="1" ht="75.599999999999994" customHeight="1">
      <c r="A197" s="235" t="s">
        <v>3172</v>
      </c>
      <c r="B197" s="236" t="s">
        <v>1264</v>
      </c>
      <c r="C197" s="242" t="s">
        <v>3171</v>
      </c>
      <c r="D197" s="236"/>
      <c r="E197" s="236" t="s">
        <v>1238</v>
      </c>
      <c r="F197" s="236" t="s">
        <v>3172</v>
      </c>
      <c r="G197" s="236" t="s">
        <v>14672</v>
      </c>
      <c r="H197" s="237"/>
      <c r="I197" s="238" t="s">
        <v>14332</v>
      </c>
      <c r="J197" s="347" t="s">
        <v>14221</v>
      </c>
      <c r="K197" s="345"/>
      <c r="L197" s="240"/>
      <c r="M197" s="240"/>
      <c r="N197" s="240"/>
      <c r="O197" s="240"/>
      <c r="P197" s="239" t="s">
        <v>15440</v>
      </c>
      <c r="Q197" s="241"/>
      <c r="R197" s="236" t="str">
        <f ca="1">IF(ISERROR($V197),"",OFFSET('Smelter Look-up'!$C$4,$V197-4,0)&amp;"")</f>
        <v>PT Lautan Harmonis Sejahtera</v>
      </c>
      <c r="S197" s="250" t="str">
        <f t="shared" ca="1" si="9"/>
        <v>ID</v>
      </c>
      <c r="T197" s="250" t="str">
        <f ca="1">IF(B197="","",IF(ISERROR(MATCH($J197,SorP!$B$1:$B$6230,0)),"",INDIRECT("'SorP'!$A$"&amp;MATCH($J197,SorP!$B$1:$B$6230,0))))</f>
        <v>ID-BB</v>
      </c>
      <c r="U197" s="280"/>
      <c r="V197" s="281">
        <f>IF(C197="",NA(),MATCH($B197&amp;$C197,'Smelter Look-up'!$J:$J,0))</f>
        <v>457</v>
      </c>
      <c r="W197" s="282"/>
      <c r="X197" s="282">
        <f t="shared" si="10"/>
        <v>0</v>
      </c>
      <c r="Y197" s="282"/>
      <c r="Z197" s="282"/>
      <c r="AB197" s="284" t="str">
        <f t="shared" si="11"/>
        <v>TinPT Lautan Harmonis Sejahtera</v>
      </c>
    </row>
    <row r="198" spans="1:28" s="283" customFormat="1" ht="50.45" customHeight="1">
      <c r="A198" s="235" t="s">
        <v>3174</v>
      </c>
      <c r="B198" s="236" t="s">
        <v>1264</v>
      </c>
      <c r="C198" s="242" t="s">
        <v>3173</v>
      </c>
      <c r="D198" s="236"/>
      <c r="E198" s="236" t="s">
        <v>1238</v>
      </c>
      <c r="F198" s="236" t="s">
        <v>3174</v>
      </c>
      <c r="G198" s="236" t="s">
        <v>14672</v>
      </c>
      <c r="H198" s="237"/>
      <c r="I198" s="238" t="s">
        <v>14333</v>
      </c>
      <c r="J198" s="347" t="s">
        <v>14221</v>
      </c>
      <c r="K198" s="345"/>
      <c r="L198" s="240"/>
      <c r="M198" s="240"/>
      <c r="N198" s="240"/>
      <c r="O198" s="240"/>
      <c r="P198" s="239" t="s">
        <v>15440</v>
      </c>
      <c r="Q198" s="241"/>
      <c r="R198" s="236" t="str">
        <f ca="1">IF(ISERROR($V198),"",OFFSET('Smelter Look-up'!$C$4,$V198-4,0)&amp;"")</f>
        <v>PT Menara Cipta Mulia</v>
      </c>
      <c r="S198" s="250" t="str">
        <f t="shared" ca="1" si="9"/>
        <v>ID</v>
      </c>
      <c r="T198" s="250" t="str">
        <f ca="1">IF(B198="","",IF(ISERROR(MATCH($J198,SorP!$B$1:$B$6230,0)),"",INDIRECT("'SorP'!$A$"&amp;MATCH($J198,SorP!$B$1:$B$6230,0))))</f>
        <v>ID-BB</v>
      </c>
      <c r="U198" s="280"/>
      <c r="V198" s="281">
        <f>IF(C198="",NA(),MATCH($B198&amp;$C198,'Smelter Look-up'!$J:$J,0))</f>
        <v>458</v>
      </c>
      <c r="W198" s="282"/>
      <c r="X198" s="282">
        <f t="shared" si="10"/>
        <v>0</v>
      </c>
      <c r="Y198" s="282"/>
      <c r="Z198" s="282"/>
      <c r="AB198" s="284" t="str">
        <f t="shared" si="11"/>
        <v>TinPT Menara Cipta Mulia</v>
      </c>
    </row>
    <row r="199" spans="1:28" s="283" customFormat="1" ht="50.45" customHeight="1">
      <c r="A199" s="235" t="s">
        <v>897</v>
      </c>
      <c r="B199" s="236" t="s">
        <v>1264</v>
      </c>
      <c r="C199" s="242" t="s">
        <v>723</v>
      </c>
      <c r="D199" s="236"/>
      <c r="E199" s="236" t="s">
        <v>1238</v>
      </c>
      <c r="F199" s="236" t="s">
        <v>897</v>
      </c>
      <c r="G199" s="236" t="s">
        <v>14672</v>
      </c>
      <c r="H199" s="237"/>
      <c r="I199" s="238" t="s">
        <v>2065</v>
      </c>
      <c r="J199" s="347" t="s">
        <v>14221</v>
      </c>
      <c r="K199" s="345"/>
      <c r="L199" s="240"/>
      <c r="M199" s="240"/>
      <c r="N199" s="240"/>
      <c r="O199" s="240"/>
      <c r="P199" s="239" t="s">
        <v>15440</v>
      </c>
      <c r="Q199" s="241"/>
      <c r="R199" s="236" t="str">
        <f ca="1">IF(ISERROR($V199),"",OFFSET('Smelter Look-up'!$C$4,$V199-4,0)&amp;"")</f>
        <v>PT Mitra Stania Prima</v>
      </c>
      <c r="S199" s="250" t="str">
        <f t="shared" ca="1" si="9"/>
        <v>ID</v>
      </c>
      <c r="T199" s="250" t="str">
        <f ca="1">IF(B199="","",IF(ISERROR(MATCH($J199,SorP!$B$1:$B$6230,0)),"",INDIRECT("'SorP'!$A$"&amp;MATCH($J199,SorP!$B$1:$B$6230,0))))</f>
        <v>ID-BB</v>
      </c>
      <c r="U199" s="280"/>
      <c r="V199" s="281">
        <f>IF(C199="",NA(),MATCH($B199&amp;$C199,'Smelter Look-up'!$J:$J,0))</f>
        <v>459</v>
      </c>
      <c r="W199" s="282"/>
      <c r="X199" s="282">
        <f t="shared" si="10"/>
        <v>0</v>
      </c>
      <c r="Y199" s="282"/>
      <c r="Z199" s="282"/>
      <c r="AB199" s="284" t="str">
        <f t="shared" si="11"/>
        <v>TinPT Mitra Stania Prima</v>
      </c>
    </row>
    <row r="200" spans="1:28" s="283" customFormat="1" ht="50.45" customHeight="1">
      <c r="A200" s="235" t="s">
        <v>1537</v>
      </c>
      <c r="B200" s="236" t="s">
        <v>1264</v>
      </c>
      <c r="C200" s="242" t="s">
        <v>1536</v>
      </c>
      <c r="D200" s="236"/>
      <c r="E200" s="236" t="s">
        <v>1238</v>
      </c>
      <c r="F200" s="236" t="s">
        <v>1537</v>
      </c>
      <c r="G200" s="236" t="s">
        <v>14672</v>
      </c>
      <c r="H200" s="237"/>
      <c r="I200" s="238" t="s">
        <v>2065</v>
      </c>
      <c r="J200" s="347" t="s">
        <v>14221</v>
      </c>
      <c r="K200" s="345"/>
      <c r="L200" s="240"/>
      <c r="M200" s="240"/>
      <c r="N200" s="240"/>
      <c r="O200" s="240"/>
      <c r="P200" s="239" t="s">
        <v>15440</v>
      </c>
      <c r="Q200" s="241"/>
      <c r="R200" s="236" t="str">
        <f ca="1">IF(ISERROR($V200),"",OFFSET('Smelter Look-up'!$C$4,$V200-4,0)&amp;"")</f>
        <v>PT Panca Mega Persada</v>
      </c>
      <c r="S200" s="250" t="str">
        <f t="shared" ca="1" si="9"/>
        <v>ID</v>
      </c>
      <c r="T200" s="250" t="str">
        <f ca="1">IF(B200="","",IF(ISERROR(MATCH($J200,SorP!$B$1:$B$6230,0)),"",INDIRECT("'SorP'!$A$"&amp;MATCH($J200,SorP!$B$1:$B$6230,0))))</f>
        <v>ID-BB</v>
      </c>
      <c r="U200" s="280"/>
      <c r="V200" s="281">
        <f>IF(C200="",NA(),MATCH($B200&amp;$C200,'Smelter Look-up'!$J:$J,0))</f>
        <v>460</v>
      </c>
      <c r="W200" s="282"/>
      <c r="X200" s="282">
        <f t="shared" si="10"/>
        <v>0</v>
      </c>
      <c r="Y200" s="282"/>
      <c r="Z200" s="282"/>
      <c r="AB200" s="284" t="str">
        <f t="shared" si="11"/>
        <v>TinPT Panca Mega Persada</v>
      </c>
    </row>
    <row r="201" spans="1:28" s="283" customFormat="1" ht="63" customHeight="1">
      <c r="A201" s="235" t="s">
        <v>872</v>
      </c>
      <c r="B201" s="236" t="s">
        <v>1264</v>
      </c>
      <c r="C201" s="242" t="s">
        <v>14608</v>
      </c>
      <c r="D201" s="236"/>
      <c r="E201" s="236" t="s">
        <v>1238</v>
      </c>
      <c r="F201" s="236" t="s">
        <v>872</v>
      </c>
      <c r="G201" s="236" t="s">
        <v>14672</v>
      </c>
      <c r="H201" s="237"/>
      <c r="I201" s="238" t="s">
        <v>3169</v>
      </c>
      <c r="J201" s="347" t="s">
        <v>14221</v>
      </c>
      <c r="K201" s="345"/>
      <c r="L201" s="240"/>
      <c r="M201" s="240"/>
      <c r="N201" s="240"/>
      <c r="O201" s="240"/>
      <c r="P201" s="239" t="s">
        <v>15440</v>
      </c>
      <c r="Q201" s="241"/>
      <c r="R201" s="236" t="str">
        <f ca="1">IF(ISERROR($V201),"",OFFSET('Smelter Look-up'!$C$4,$V201-4,0)&amp;"")</f>
        <v>PT Premium Tin Indonesia</v>
      </c>
      <c r="S201" s="250" t="str">
        <f t="shared" ca="1" si="9"/>
        <v>ID</v>
      </c>
      <c r="T201" s="250" t="str">
        <f ca="1">IF(B201="","",IF(ISERROR(MATCH($J201,SorP!$B$1:$B$6230,0)),"",INDIRECT("'SorP'!$A$"&amp;MATCH($J201,SorP!$B$1:$B$6230,0))))</f>
        <v>ID-BB</v>
      </c>
      <c r="U201" s="280"/>
      <c r="V201" s="281">
        <f>IF(C201="",NA(),MATCH($B201&amp;$C201,'Smelter Look-up'!$J:$J,0))</f>
        <v>461</v>
      </c>
      <c r="W201" s="282"/>
      <c r="X201" s="282">
        <f t="shared" si="10"/>
        <v>0</v>
      </c>
      <c r="Y201" s="282"/>
      <c r="Z201" s="282"/>
      <c r="AB201" s="284" t="str">
        <f t="shared" si="11"/>
        <v>TinPT Premium Tin Indonesia</v>
      </c>
    </row>
    <row r="202" spans="1:28" s="283" customFormat="1" ht="50.45" customHeight="1">
      <c r="A202" s="235" t="s">
        <v>899</v>
      </c>
      <c r="B202" s="236" t="s">
        <v>1264</v>
      </c>
      <c r="C202" s="242" t="s">
        <v>898</v>
      </c>
      <c r="D202" s="236"/>
      <c r="E202" s="236" t="s">
        <v>1238</v>
      </c>
      <c r="F202" s="236" t="s">
        <v>899</v>
      </c>
      <c r="G202" s="236" t="s">
        <v>14672</v>
      </c>
      <c r="H202" s="237"/>
      <c r="I202" s="238" t="s">
        <v>2067</v>
      </c>
      <c r="J202" s="347" t="s">
        <v>14221</v>
      </c>
      <c r="K202" s="345"/>
      <c r="L202" s="240"/>
      <c r="M202" s="240"/>
      <c r="N202" s="240"/>
      <c r="O202" s="240"/>
      <c r="P202" s="239" t="s">
        <v>15440</v>
      </c>
      <c r="Q202" s="241"/>
      <c r="R202" s="236" t="str">
        <f ca="1">IF(ISERROR($V202),"",OFFSET('Smelter Look-up'!$C$4,$V202-4,0)&amp;"")</f>
        <v>PT Prima Timah Utama</v>
      </c>
      <c r="S202" s="250" t="str">
        <f t="shared" ca="1" si="9"/>
        <v>ID</v>
      </c>
      <c r="T202" s="250" t="str">
        <f ca="1">IF(B202="","",IF(ISERROR(MATCH($J202,SorP!$B$1:$B$6230,0)),"",INDIRECT("'SorP'!$A$"&amp;MATCH($J202,SorP!$B$1:$B$6230,0))))</f>
        <v>ID-BB</v>
      </c>
      <c r="U202" s="280"/>
      <c r="V202" s="281">
        <f>IF(C202="",NA(),MATCH($B202&amp;$C202,'Smelter Look-up'!$J:$J,0))</f>
        <v>462</v>
      </c>
      <c r="W202" s="282"/>
      <c r="X202" s="282">
        <f t="shared" si="10"/>
        <v>0</v>
      </c>
      <c r="Y202" s="282"/>
      <c r="Z202" s="282"/>
      <c r="AB202" s="284" t="str">
        <f t="shared" si="11"/>
        <v>TinPT Prima Timah Utama</v>
      </c>
    </row>
    <row r="203" spans="1:28" s="283" customFormat="1" ht="50.45" customHeight="1">
      <c r="A203" s="235" t="s">
        <v>900</v>
      </c>
      <c r="B203" s="236" t="s">
        <v>1264</v>
      </c>
      <c r="C203" s="242" t="s">
        <v>2620</v>
      </c>
      <c r="D203" s="236"/>
      <c r="E203" s="236" t="s">
        <v>1238</v>
      </c>
      <c r="F203" s="236" t="s">
        <v>900</v>
      </c>
      <c r="G203" s="236" t="s">
        <v>14672</v>
      </c>
      <c r="H203" s="237"/>
      <c r="I203" s="238" t="s">
        <v>2065</v>
      </c>
      <c r="J203" s="347" t="s">
        <v>14221</v>
      </c>
      <c r="K203" s="345"/>
      <c r="L203" s="240"/>
      <c r="M203" s="240"/>
      <c r="N203" s="240"/>
      <c r="O203" s="240"/>
      <c r="P203" s="239" t="s">
        <v>15440</v>
      </c>
      <c r="Q203" s="241"/>
      <c r="R203" s="236" t="str">
        <f ca="1">IF(ISERROR($V203),"",OFFSET('Smelter Look-up'!$C$4,$V203-4,0)&amp;"")</f>
        <v>PT Refined Bangka Tin</v>
      </c>
      <c r="S203" s="250" t="str">
        <f t="shared" ca="1" si="9"/>
        <v>ID</v>
      </c>
      <c r="T203" s="250" t="str">
        <f ca="1">IF(B203="","",IF(ISERROR(MATCH($J203,SorP!$B$1:$B$6230,0)),"",INDIRECT("'SorP'!$A$"&amp;MATCH($J203,SorP!$B$1:$B$6230,0))))</f>
        <v>ID-BB</v>
      </c>
      <c r="U203" s="280"/>
      <c r="V203" s="281">
        <f>IF(C203="",NA(),MATCH($B203&amp;$C203,'Smelter Look-up'!$J:$J,0))</f>
        <v>463</v>
      </c>
      <c r="W203" s="282"/>
      <c r="X203" s="282">
        <f t="shared" si="10"/>
        <v>0</v>
      </c>
      <c r="Y203" s="282"/>
      <c r="Z203" s="282"/>
      <c r="AB203" s="284" t="str">
        <f t="shared" si="11"/>
        <v>TinPT Refined Bangka Tin</v>
      </c>
    </row>
    <row r="204" spans="1:28" s="283" customFormat="1" ht="63" customHeight="1">
      <c r="A204" s="235" t="s">
        <v>901</v>
      </c>
      <c r="B204" s="236" t="s">
        <v>1264</v>
      </c>
      <c r="C204" s="242" t="s">
        <v>724</v>
      </c>
      <c r="D204" s="236"/>
      <c r="E204" s="236" t="s">
        <v>1238</v>
      </c>
      <c r="F204" s="236" t="s">
        <v>901</v>
      </c>
      <c r="G204" s="236" t="s">
        <v>14672</v>
      </c>
      <c r="H204" s="237"/>
      <c r="I204" s="238" t="s">
        <v>2067</v>
      </c>
      <c r="J204" s="347" t="s">
        <v>14221</v>
      </c>
      <c r="K204" s="345"/>
      <c r="L204" s="240"/>
      <c r="M204" s="240"/>
      <c r="N204" s="240"/>
      <c r="O204" s="240"/>
      <c r="P204" s="239" t="s">
        <v>15440</v>
      </c>
      <c r="Q204" s="241"/>
      <c r="R204" s="236" t="str">
        <f ca="1">IF(ISERROR($V204),"",OFFSET('Smelter Look-up'!$C$4,$V204-4,0)&amp;"")</f>
        <v>PT Sariwiguna Binasentosa</v>
      </c>
      <c r="S204" s="250" t="str">
        <f t="shared" ca="1" si="9"/>
        <v>ID</v>
      </c>
      <c r="T204" s="250" t="str">
        <f ca="1">IF(B204="","",IF(ISERROR(MATCH($J204,SorP!$B$1:$B$6230,0)),"",INDIRECT("'SorP'!$A$"&amp;MATCH($J204,SorP!$B$1:$B$6230,0))))</f>
        <v>ID-BB</v>
      </c>
      <c r="U204" s="280"/>
      <c r="V204" s="281">
        <f>IF(C204="",NA(),MATCH($B204&amp;$C204,'Smelter Look-up'!$J:$J,0))</f>
        <v>464</v>
      </c>
      <c r="W204" s="282"/>
      <c r="X204" s="282">
        <f t="shared" si="10"/>
        <v>0</v>
      </c>
      <c r="Y204" s="282"/>
      <c r="Z204" s="282"/>
      <c r="AB204" s="284" t="str">
        <f t="shared" si="11"/>
        <v>TinPT Sariwiguna Binasentosa</v>
      </c>
    </row>
    <row r="205" spans="1:28" s="283" customFormat="1" ht="50.45" customHeight="1">
      <c r="A205" s="235" t="s">
        <v>902</v>
      </c>
      <c r="B205" s="236" t="s">
        <v>1264</v>
      </c>
      <c r="C205" s="242" t="s">
        <v>1297</v>
      </c>
      <c r="D205" s="236"/>
      <c r="E205" s="236" t="s">
        <v>1238</v>
      </c>
      <c r="F205" s="236" t="s">
        <v>902</v>
      </c>
      <c r="G205" s="236" t="s">
        <v>14672</v>
      </c>
      <c r="H205" s="237"/>
      <c r="I205" s="238" t="s">
        <v>2067</v>
      </c>
      <c r="J205" s="347" t="s">
        <v>14221</v>
      </c>
      <c r="K205" s="345"/>
      <c r="L205" s="240"/>
      <c r="M205" s="240"/>
      <c r="N205" s="240"/>
      <c r="O205" s="240"/>
      <c r="P205" s="239" t="s">
        <v>15440</v>
      </c>
      <c r="Q205" s="241"/>
      <c r="R205" s="236" t="str">
        <f ca="1">IF(ISERROR($V205),"",OFFSET('Smelter Look-up'!$C$4,$V205-4,0)&amp;"")</f>
        <v>PT Stanindo Inti Perkasa</v>
      </c>
      <c r="S205" s="250" t="str">
        <f t="shared" ca="1" si="9"/>
        <v>ID</v>
      </c>
      <c r="T205" s="250" t="str">
        <f ca="1">IF(B205="","",IF(ISERROR(MATCH($J205,SorP!$B$1:$B$6230,0)),"",INDIRECT("'SorP'!$A$"&amp;MATCH($J205,SorP!$B$1:$B$6230,0))))</f>
        <v>ID-BB</v>
      </c>
      <c r="U205" s="280"/>
      <c r="V205" s="281">
        <f>IF(C205="",NA(),MATCH($B205&amp;$C205,'Smelter Look-up'!$J:$J,0))</f>
        <v>465</v>
      </c>
      <c r="W205" s="282"/>
      <c r="X205" s="282">
        <f t="shared" si="10"/>
        <v>0</v>
      </c>
      <c r="Y205" s="282"/>
      <c r="Z205" s="282"/>
      <c r="AB205" s="284" t="str">
        <f t="shared" si="11"/>
        <v>TinPT Stanindo Inti Perkasa</v>
      </c>
    </row>
    <row r="206" spans="1:28" s="283" customFormat="1" ht="50.45" customHeight="1">
      <c r="A206" s="235" t="s">
        <v>2736</v>
      </c>
      <c r="B206" s="236" t="s">
        <v>1264</v>
      </c>
      <c r="C206" s="242" t="s">
        <v>2735</v>
      </c>
      <c r="D206" s="236"/>
      <c r="E206" s="236" t="s">
        <v>1238</v>
      </c>
      <c r="F206" s="236" t="s">
        <v>2736</v>
      </c>
      <c r="G206" s="236" t="s">
        <v>14672</v>
      </c>
      <c r="H206" s="237"/>
      <c r="I206" s="238" t="s">
        <v>14334</v>
      </c>
      <c r="J206" s="347" t="s">
        <v>14221</v>
      </c>
      <c r="K206" s="345"/>
      <c r="L206" s="240"/>
      <c r="M206" s="240"/>
      <c r="N206" s="240"/>
      <c r="O206" s="240"/>
      <c r="P206" s="239" t="s">
        <v>15440</v>
      </c>
      <c r="Q206" s="241"/>
      <c r="R206" s="236" t="str">
        <f ca="1">IF(ISERROR($V206),"",OFFSET('Smelter Look-up'!$C$4,$V206-4,0)&amp;"")</f>
        <v>PT Sukses Inti Makmur</v>
      </c>
      <c r="S206" s="250" t="str">
        <f t="shared" ca="1" si="9"/>
        <v>ID</v>
      </c>
      <c r="T206" s="250" t="str">
        <f ca="1">IF(B206="","",IF(ISERROR(MATCH($J206,SorP!$B$1:$B$6230,0)),"",INDIRECT("'SorP'!$A$"&amp;MATCH($J206,SorP!$B$1:$B$6230,0))))</f>
        <v>ID-BB</v>
      </c>
      <c r="U206" s="280"/>
      <c r="V206" s="281">
        <f>IF(C206="",NA(),MATCH($B206&amp;$C206,'Smelter Look-up'!$J:$J,0))</f>
        <v>466</v>
      </c>
      <c r="W206" s="282"/>
      <c r="X206" s="282">
        <f t="shared" si="10"/>
        <v>0</v>
      </c>
      <c r="Y206" s="282"/>
      <c r="Z206" s="282"/>
      <c r="AB206" s="284" t="str">
        <f t="shared" si="11"/>
        <v>TinPT Sukses Inti Makmur</v>
      </c>
    </row>
    <row r="207" spans="1:28" s="283" customFormat="1" ht="50.45" customHeight="1">
      <c r="A207" s="235" t="s">
        <v>1539</v>
      </c>
      <c r="B207" s="236" t="s">
        <v>1264</v>
      </c>
      <c r="C207" s="242" t="s">
        <v>1538</v>
      </c>
      <c r="D207" s="236"/>
      <c r="E207" s="236" t="s">
        <v>1238</v>
      </c>
      <c r="F207" s="236" t="s">
        <v>1539</v>
      </c>
      <c r="G207" s="236" t="s">
        <v>14672</v>
      </c>
      <c r="H207" s="237"/>
      <c r="I207" s="238" t="s">
        <v>2067</v>
      </c>
      <c r="J207" s="347" t="s">
        <v>14221</v>
      </c>
      <c r="K207" s="345"/>
      <c r="L207" s="240"/>
      <c r="M207" s="240"/>
      <c r="N207" s="240"/>
      <c r="O207" s="240"/>
      <c r="P207" s="239" t="s">
        <v>15440</v>
      </c>
      <c r="Q207" s="241"/>
      <c r="R207" s="236" t="str">
        <f ca="1">IF(ISERROR($V207),"",OFFSET('Smelter Look-up'!$C$4,$V207-4,0)&amp;"")</f>
        <v>PT Sumber Jaya Indah</v>
      </c>
      <c r="S207" s="250" t="str">
        <f t="shared" ca="1" si="9"/>
        <v>ID</v>
      </c>
      <c r="T207" s="250" t="str">
        <f ca="1">IF(B207="","",IF(ISERROR(MATCH($J207,SorP!$B$1:$B$6230,0)),"",INDIRECT("'SorP'!$A$"&amp;MATCH($J207,SorP!$B$1:$B$6230,0))))</f>
        <v>ID-BB</v>
      </c>
      <c r="U207" s="280"/>
      <c r="V207" s="281">
        <f>IF(C207="",NA(),MATCH($B207&amp;$C207,'Smelter Look-up'!$J:$J,0))</f>
        <v>467</v>
      </c>
      <c r="W207" s="282"/>
      <c r="X207" s="282">
        <f t="shared" si="10"/>
        <v>0</v>
      </c>
      <c r="Y207" s="282"/>
      <c r="Z207" s="282"/>
      <c r="AB207" s="284" t="str">
        <f t="shared" si="11"/>
        <v>TinPT Sumber Jaya Indah</v>
      </c>
    </row>
    <row r="208" spans="1:28" s="283" customFormat="1" ht="63" customHeight="1">
      <c r="A208" s="235" t="s">
        <v>926</v>
      </c>
      <c r="B208" s="236" t="s">
        <v>1264</v>
      </c>
      <c r="C208" s="242" t="s">
        <v>2098</v>
      </c>
      <c r="D208" s="236"/>
      <c r="E208" s="236" t="s">
        <v>1238</v>
      </c>
      <c r="F208" s="236" t="s">
        <v>926</v>
      </c>
      <c r="G208" s="236" t="s">
        <v>14672</v>
      </c>
      <c r="H208" s="237"/>
      <c r="I208" s="238" t="s">
        <v>2099</v>
      </c>
      <c r="J208" s="238" t="s">
        <v>6949</v>
      </c>
      <c r="K208" s="240"/>
      <c r="L208" s="240"/>
      <c r="M208" s="240"/>
      <c r="N208" s="240"/>
      <c r="O208" s="240"/>
      <c r="P208" s="239" t="s">
        <v>15440</v>
      </c>
      <c r="Q208" s="241"/>
      <c r="R208" s="236" t="str">
        <f ca="1">IF(ISERROR($V208),"",OFFSET('Smelter Look-up'!$C$4,$V208-4,0)&amp;"")</f>
        <v>PT Timah (Persero) Tbk Kundur</v>
      </c>
      <c r="S208" s="250" t="str">
        <f t="shared" ca="1" si="9"/>
        <v>ID</v>
      </c>
      <c r="T208" s="250" t="str">
        <f ca="1">IF(B208="","",IF(ISERROR(MATCH($J208,SorP!$B$1:$B$6230,0)),"",INDIRECT("'SorP'!$A$"&amp;MATCH($J208,SorP!$B$1:$B$6230,0))))</f>
        <v>ID-RI</v>
      </c>
      <c r="U208" s="280"/>
      <c r="V208" s="281">
        <f>IF(C208="",NA(),MATCH($B208&amp;$C208,'Smelter Look-up'!$J:$J,0))</f>
        <v>469</v>
      </c>
      <c r="W208" s="282"/>
      <c r="X208" s="282">
        <f t="shared" si="10"/>
        <v>0</v>
      </c>
      <c r="Y208" s="282"/>
      <c r="Z208" s="282"/>
      <c r="AB208" s="284" t="str">
        <f t="shared" si="11"/>
        <v>TinPT Timah (Persero) Tbk Kundur</v>
      </c>
    </row>
    <row r="209" spans="1:28" s="283" customFormat="1" ht="63" customHeight="1">
      <c r="A209" s="235" t="s">
        <v>903</v>
      </c>
      <c r="B209" s="236" t="s">
        <v>1264</v>
      </c>
      <c r="C209" s="242" t="s">
        <v>2685</v>
      </c>
      <c r="D209" s="236"/>
      <c r="E209" s="236" t="s">
        <v>1238</v>
      </c>
      <c r="F209" s="236" t="s">
        <v>903</v>
      </c>
      <c r="G209" s="236" t="s">
        <v>14672</v>
      </c>
      <c r="H209" s="237"/>
      <c r="I209" s="238" t="s">
        <v>2101</v>
      </c>
      <c r="J209" s="347" t="s">
        <v>14221</v>
      </c>
      <c r="K209" s="345"/>
      <c r="L209" s="240"/>
      <c r="M209" s="240"/>
      <c r="N209" s="240"/>
      <c r="O209" s="240"/>
      <c r="P209" s="239" t="s">
        <v>15440</v>
      </c>
      <c r="Q209" s="241"/>
      <c r="R209" s="236" t="str">
        <f ca="1">IF(ISERROR($V209),"",OFFSET('Smelter Look-up'!$C$4,$V209-4,0)&amp;"")</f>
        <v>PT Timah (Persero) Tbk Mentok</v>
      </c>
      <c r="S209" s="250" t="str">
        <f t="shared" ca="1" si="9"/>
        <v>ID</v>
      </c>
      <c r="T209" s="250" t="str">
        <f ca="1">IF(B209="","",IF(ISERROR(MATCH($J209,SorP!$B$1:$B$6230,0)),"",INDIRECT("'SorP'!$A$"&amp;MATCH($J209,SorP!$B$1:$B$6230,0))))</f>
        <v>ID-BB</v>
      </c>
      <c r="U209" s="280"/>
      <c r="V209" s="281">
        <f>IF(C209="",NA(),MATCH($B209&amp;$C209,'Smelter Look-up'!$J:$J,0))</f>
        <v>470</v>
      </c>
      <c r="W209" s="282"/>
      <c r="X209" s="282">
        <f t="shared" si="10"/>
        <v>0</v>
      </c>
      <c r="Y209" s="282"/>
      <c r="Z209" s="282"/>
      <c r="AB209" s="284" t="str">
        <f t="shared" si="11"/>
        <v>TinPT Timah (Persero) Tbk Mentok</v>
      </c>
    </row>
    <row r="210" spans="1:28" s="283" customFormat="1" ht="50.45" customHeight="1">
      <c r="A210" s="235" t="s">
        <v>904</v>
      </c>
      <c r="B210" s="236" t="s">
        <v>1264</v>
      </c>
      <c r="C210" s="242" t="s">
        <v>605</v>
      </c>
      <c r="D210" s="236"/>
      <c r="E210" s="236" t="s">
        <v>1238</v>
      </c>
      <c r="F210" s="236" t="s">
        <v>904</v>
      </c>
      <c r="G210" s="236" t="s">
        <v>14672</v>
      </c>
      <c r="H210" s="237"/>
      <c r="I210" s="238" t="s">
        <v>2067</v>
      </c>
      <c r="J210" s="347" t="s">
        <v>14221</v>
      </c>
      <c r="K210" s="345"/>
      <c r="L210" s="240"/>
      <c r="M210" s="240"/>
      <c r="N210" s="240"/>
      <c r="O210" s="240"/>
      <c r="P210" s="239" t="s">
        <v>15440</v>
      </c>
      <c r="Q210" s="241"/>
      <c r="R210" s="236" t="str">
        <f ca="1">IF(ISERROR($V210),"",OFFSET('Smelter Look-up'!$C$4,$V210-4,0)&amp;"")</f>
        <v>PT Tinindo Inter Nusa</v>
      </c>
      <c r="S210" s="250" t="str">
        <f t="shared" ca="1" si="9"/>
        <v>ID</v>
      </c>
      <c r="T210" s="250" t="str">
        <f ca="1">IF(B210="","",IF(ISERROR(MATCH($J210,SorP!$B$1:$B$6230,0)),"",INDIRECT("'SorP'!$A$"&amp;MATCH($J210,SorP!$B$1:$B$6230,0))))</f>
        <v>ID-BB</v>
      </c>
      <c r="U210" s="280"/>
      <c r="V210" s="281">
        <f>IF(C210="",NA(),MATCH($B210&amp;$C210,'Smelter Look-up'!$J:$J,0))</f>
        <v>471</v>
      </c>
      <c r="W210" s="282"/>
      <c r="X210" s="282">
        <f t="shared" si="10"/>
        <v>0</v>
      </c>
      <c r="Y210" s="282"/>
      <c r="Z210" s="282"/>
      <c r="AB210" s="284" t="str">
        <f t="shared" si="11"/>
        <v>TinPT Tinindo Inter Nusa</v>
      </c>
    </row>
    <row r="211" spans="1:28" s="283" customFormat="1" ht="37.9" customHeight="1">
      <c r="A211" s="235" t="s">
        <v>2744</v>
      </c>
      <c r="B211" s="236" t="s">
        <v>1264</v>
      </c>
      <c r="C211" s="242" t="s">
        <v>2743</v>
      </c>
      <c r="D211" s="236"/>
      <c r="E211" s="236" t="s">
        <v>1238</v>
      </c>
      <c r="F211" s="236" t="s">
        <v>2744</v>
      </c>
      <c r="G211" s="236" t="s">
        <v>14672</v>
      </c>
      <c r="H211" s="237"/>
      <c r="I211" s="238" t="s">
        <v>3044</v>
      </c>
      <c r="J211" s="347" t="s">
        <v>14221</v>
      </c>
      <c r="K211" s="345"/>
      <c r="L211" s="240"/>
      <c r="M211" s="240"/>
      <c r="N211" s="240"/>
      <c r="O211" s="240"/>
      <c r="P211" s="239" t="s">
        <v>15440</v>
      </c>
      <c r="Q211" s="241"/>
      <c r="R211" s="236" t="str">
        <f ca="1">IF(ISERROR($V211),"",OFFSET('Smelter Look-up'!$C$4,$V211-4,0)&amp;"")</f>
        <v>PT Tommy Utama</v>
      </c>
      <c r="S211" s="250" t="str">
        <f t="shared" ca="1" si="9"/>
        <v>ID</v>
      </c>
      <c r="T211" s="250" t="str">
        <f ca="1">IF(B211="","",IF(ISERROR(MATCH($J211,SorP!$B$1:$B$6230,0)),"",INDIRECT("'SorP'!$A$"&amp;MATCH($J211,SorP!$B$1:$B$6230,0))))</f>
        <v>ID-BB</v>
      </c>
      <c r="U211" s="280"/>
      <c r="V211" s="281">
        <f>IF(C211="",NA(),MATCH($B211&amp;$C211,'Smelter Look-up'!$J:$J,0))</f>
        <v>472</v>
      </c>
      <c r="W211" s="282"/>
      <c r="X211" s="282">
        <f t="shared" si="10"/>
        <v>0</v>
      </c>
      <c r="Y211" s="282"/>
      <c r="Z211" s="282"/>
      <c r="AB211" s="284" t="str">
        <f t="shared" si="11"/>
        <v>TinPT Tommy Utama</v>
      </c>
    </row>
    <row r="212" spans="1:28" s="283" customFormat="1" ht="75.599999999999994" customHeight="1">
      <c r="A212" s="235" t="s">
        <v>2124</v>
      </c>
      <c r="B212" s="236" t="s">
        <v>1264</v>
      </c>
      <c r="C212" s="242" t="s">
        <v>13601</v>
      </c>
      <c r="D212" s="236"/>
      <c r="E212" s="236" t="s">
        <v>1228</v>
      </c>
      <c r="F212" s="236" t="s">
        <v>2124</v>
      </c>
      <c r="G212" s="236" t="s">
        <v>14672</v>
      </c>
      <c r="H212" s="237"/>
      <c r="I212" s="238" t="s">
        <v>2011</v>
      </c>
      <c r="J212" s="238" t="s">
        <v>2053</v>
      </c>
      <c r="K212" s="240"/>
      <c r="L212" s="240"/>
      <c r="M212" s="240"/>
      <c r="N212" s="240"/>
      <c r="O212" s="240"/>
      <c r="P212" s="239" t="s">
        <v>15440</v>
      </c>
      <c r="Q212" s="241"/>
      <c r="R212" s="236" t="str">
        <f ca="1">IF(ISERROR($V212),"",OFFSET('Smelter Look-up'!$C$4,$V212-4,0)&amp;"")</f>
        <v>Resind Industria e Comercio Ltda.</v>
      </c>
      <c r="S212" s="250" t="str">
        <f t="shared" ca="1" si="9"/>
        <v>BR</v>
      </c>
      <c r="T212" s="250" t="str">
        <f ca="1">IF(B212="","",IF(ISERROR(MATCH($J212,SorP!$B$1:$B$6230,0)),"",INDIRECT("'SorP'!$A$"&amp;MATCH($J212,SorP!$B$1:$B$6230,0))))</f>
        <v>BR-MG</v>
      </c>
      <c r="U212" s="280"/>
      <c r="V212" s="281">
        <f>IF(C212="",NA(),MATCH($B212&amp;$C212,'Smelter Look-up'!$J:$J,0))</f>
        <v>474</v>
      </c>
      <c r="W212" s="282"/>
      <c r="X212" s="282">
        <f t="shared" si="10"/>
        <v>0</v>
      </c>
      <c r="Y212" s="282"/>
      <c r="Z212" s="282"/>
      <c r="AB212" s="284" t="str">
        <f t="shared" si="11"/>
        <v>TinResind Industria e Comercio Ltda.</v>
      </c>
    </row>
    <row r="213" spans="1:28" s="283" customFormat="1" ht="25.15" customHeight="1">
      <c r="A213" s="235" t="s">
        <v>906</v>
      </c>
      <c r="B213" s="236" t="s">
        <v>1264</v>
      </c>
      <c r="C213" s="242" t="s">
        <v>905</v>
      </c>
      <c r="D213" s="236"/>
      <c r="E213" s="236" t="s">
        <v>3152</v>
      </c>
      <c r="F213" s="236" t="s">
        <v>906</v>
      </c>
      <c r="G213" s="236" t="s">
        <v>14672</v>
      </c>
      <c r="H213" s="237"/>
      <c r="I213" s="238" t="s">
        <v>1987</v>
      </c>
      <c r="J213" s="238" t="s">
        <v>1987</v>
      </c>
      <c r="K213" s="240"/>
      <c r="L213" s="240"/>
      <c r="M213" s="240"/>
      <c r="N213" s="240"/>
      <c r="O213" s="240"/>
      <c r="P213" s="239" t="s">
        <v>15440</v>
      </c>
      <c r="Q213" s="241"/>
      <c r="R213" s="236" t="str">
        <f ca="1">IF(ISERROR($V213),"",OFFSET('Smelter Look-up'!$C$4,$V213-4,0)&amp;"")</f>
        <v>Rui Da Hung</v>
      </c>
      <c r="S213" s="250" t="str">
        <f t="shared" ca="1" si="9"/>
        <v>TW</v>
      </c>
      <c r="T213" s="250" t="str">
        <f ca="1">IF(B213="","",IF(ISERROR(MATCH($J213,SorP!$B$1:$B$6230,0)),"",INDIRECT("'SorP'!$A$"&amp;MATCH($J213,SorP!$B$1:$B$6230,0))))</f>
        <v>TW-TAO</v>
      </c>
      <c r="U213" s="280"/>
      <c r="V213" s="281">
        <f>IF(C213="",NA(),MATCH($B213&amp;$C213,'Smelter Look-up'!$J:$J,0))</f>
        <v>476</v>
      </c>
      <c r="W213" s="282"/>
      <c r="X213" s="282">
        <f t="shared" si="10"/>
        <v>0</v>
      </c>
      <c r="Y213" s="282"/>
      <c r="Z213" s="282"/>
      <c r="AB213" s="284" t="str">
        <f t="shared" si="11"/>
        <v>TinRui Da Hung</v>
      </c>
    </row>
    <row r="214" spans="1:28" s="283" customFormat="1" ht="38.25">
      <c r="A214" s="235"/>
      <c r="B214" s="236" t="s">
        <v>1264</v>
      </c>
      <c r="C214" s="242" t="s">
        <v>2168</v>
      </c>
      <c r="D214" s="236" t="s">
        <v>15444</v>
      </c>
      <c r="E214" s="236" t="s">
        <v>1228</v>
      </c>
      <c r="F214" s="236" t="s">
        <v>15445</v>
      </c>
      <c r="G214" s="236"/>
      <c r="H214" s="237"/>
      <c r="I214" s="238" t="s">
        <v>2064</v>
      </c>
      <c r="J214" s="238" t="s">
        <v>15446</v>
      </c>
      <c r="K214" s="240"/>
      <c r="L214" s="240"/>
      <c r="M214" s="240"/>
      <c r="N214" s="240"/>
      <c r="O214" s="240"/>
      <c r="P214" s="239" t="s">
        <v>15440</v>
      </c>
      <c r="Q214" s="241"/>
      <c r="R214" s="236" t="str">
        <f ca="1">IF(ISERROR($V214),"",OFFSET('Smelter Look-up'!$C$4,$V214-4,0)&amp;"")</f>
        <v/>
      </c>
      <c r="S214" s="250" t="str">
        <f t="shared" ca="1" si="9"/>
        <v>BR</v>
      </c>
      <c r="T214" s="250" t="str">
        <f ca="1">IF(B214="","",IF(ISERROR(MATCH($J214,SorP!$B$1:$B$6230,0)),"",INDIRECT("'SorP'!$A$"&amp;MATCH($J214,SorP!$B$1:$B$6230,0))))</f>
        <v/>
      </c>
      <c r="U214" s="280"/>
      <c r="V214" s="281">
        <f>IF(C214="",NA(),MATCH($B214&amp;$C214,'Smelter Look-up'!$J:$J,0))</f>
        <v>508</v>
      </c>
      <c r="W214" s="282"/>
      <c r="X214" s="282">
        <f t="shared" si="10"/>
        <v>0</v>
      </c>
      <c r="Y214" s="282"/>
      <c r="Z214" s="282"/>
      <c r="AB214" s="284" t="str">
        <f t="shared" si="11"/>
        <v>TinSmelter not listed</v>
      </c>
    </row>
    <row r="215" spans="1:28" s="283" customFormat="1" ht="38.25">
      <c r="A215" s="235"/>
      <c r="B215" s="236" t="s">
        <v>1264</v>
      </c>
      <c r="C215" s="242" t="s">
        <v>2168</v>
      </c>
      <c r="D215" s="236" t="s">
        <v>15447</v>
      </c>
      <c r="E215" s="236" t="s">
        <v>1238</v>
      </c>
      <c r="F215" s="236" t="s">
        <v>15448</v>
      </c>
      <c r="G215" s="236"/>
      <c r="H215" s="237"/>
      <c r="I215" s="238" t="s">
        <v>15449</v>
      </c>
      <c r="J215" s="238" t="s">
        <v>15450</v>
      </c>
      <c r="K215" s="240"/>
      <c r="L215" s="240"/>
      <c r="M215" s="240"/>
      <c r="N215" s="240"/>
      <c r="O215" s="240"/>
      <c r="P215" s="239" t="s">
        <v>15440</v>
      </c>
      <c r="Q215" s="241"/>
      <c r="R215" s="236" t="str">
        <f ca="1">IF(ISERROR($V215),"",OFFSET('Smelter Look-up'!$C$4,$V215-4,0)&amp;"")</f>
        <v/>
      </c>
      <c r="S215" s="250" t="str">
        <f t="shared" ca="1" si="9"/>
        <v>ID</v>
      </c>
      <c r="T215" s="250" t="str">
        <f ca="1">IF(B215="","",IF(ISERROR(MATCH($J215,SorP!$B$1:$B$6230,0)),"",INDIRECT("'SorP'!$A$"&amp;MATCH($J215,SorP!$B$1:$B$6230,0))))</f>
        <v/>
      </c>
      <c r="U215" s="280"/>
      <c r="V215" s="281">
        <f>IF(C215="",NA(),MATCH($B215&amp;$C215,'Smelter Look-up'!$J:$J,0))</f>
        <v>508</v>
      </c>
      <c r="W215" s="282"/>
      <c r="X215" s="282">
        <f t="shared" si="10"/>
        <v>0</v>
      </c>
      <c r="Y215" s="282"/>
      <c r="Z215" s="282"/>
      <c r="AB215" s="284" t="str">
        <f t="shared" si="11"/>
        <v>TinSmelter not listed</v>
      </c>
    </row>
    <row r="216" spans="1:28" s="283" customFormat="1" ht="38.25">
      <c r="A216" s="235"/>
      <c r="B216" s="236" t="s">
        <v>1264</v>
      </c>
      <c r="C216" s="242" t="s">
        <v>2168</v>
      </c>
      <c r="D216" s="236" t="s">
        <v>15451</v>
      </c>
      <c r="E216" s="236" t="s">
        <v>1232</v>
      </c>
      <c r="F216" s="236"/>
      <c r="G216" s="236"/>
      <c r="H216" s="237"/>
      <c r="I216" s="238" t="s">
        <v>15452</v>
      </c>
      <c r="J216" s="238" t="s">
        <v>15453</v>
      </c>
      <c r="K216" s="240"/>
      <c r="L216" s="240"/>
      <c r="M216" s="240"/>
      <c r="N216" s="240"/>
      <c r="O216" s="240"/>
      <c r="P216" s="239" t="s">
        <v>15440</v>
      </c>
      <c r="Q216" s="241"/>
      <c r="R216" s="236" t="str">
        <f ca="1">IF(ISERROR($V216),"",OFFSET('Smelter Look-up'!$C$4,$V216-4,0)&amp;"")</f>
        <v/>
      </c>
      <c r="S216" s="250" t="str">
        <f t="shared" ca="1" si="9"/>
        <v>CN</v>
      </c>
      <c r="T216" s="250" t="str">
        <f ca="1">IF(B216="","",IF(ISERROR(MATCH($J216,SorP!$B$1:$B$6230,0)),"",INDIRECT("'SorP'!$A$"&amp;MATCH($J216,SorP!$B$1:$B$6230,0))))</f>
        <v/>
      </c>
      <c r="U216" s="280"/>
      <c r="V216" s="281">
        <f>IF(C216="",NA(),MATCH($B216&amp;$C216,'Smelter Look-up'!$J:$J,0))</f>
        <v>508</v>
      </c>
      <c r="W216" s="282"/>
      <c r="X216" s="282">
        <f t="shared" si="10"/>
        <v>0</v>
      </c>
      <c r="Y216" s="282"/>
      <c r="Z216" s="282"/>
      <c r="AB216" s="284" t="str">
        <f t="shared" si="11"/>
        <v>TinSmelter not listed</v>
      </c>
    </row>
    <row r="217" spans="1:28" s="283" customFormat="1" ht="37.9" customHeight="1">
      <c r="A217" s="235" t="s">
        <v>907</v>
      </c>
      <c r="B217" s="236" t="s">
        <v>1264</v>
      </c>
      <c r="C217" s="242" t="s">
        <v>2625</v>
      </c>
      <c r="D217" s="236"/>
      <c r="E217" s="236" t="s">
        <v>1228</v>
      </c>
      <c r="F217" s="236" t="s">
        <v>907</v>
      </c>
      <c r="G217" s="236" t="s">
        <v>14672</v>
      </c>
      <c r="H217" s="237"/>
      <c r="I217" s="238" t="s">
        <v>2102</v>
      </c>
      <c r="J217" s="238" t="s">
        <v>1954</v>
      </c>
      <c r="K217" s="240"/>
      <c r="L217" s="240"/>
      <c r="M217" s="240"/>
      <c r="N217" s="240"/>
      <c r="O217" s="240"/>
      <c r="P217" s="239" t="s">
        <v>15440</v>
      </c>
      <c r="Q217" s="241"/>
      <c r="R217" s="236" t="str">
        <f ca="1">IF(ISERROR($V217),"",OFFSET('Smelter Look-up'!$C$4,$V217-4,0)&amp;"")</f>
        <v>Soft Metais Ltda.</v>
      </c>
      <c r="S217" s="250" t="str">
        <f t="shared" ca="1" si="9"/>
        <v>BR</v>
      </c>
      <c r="T217" s="250" t="str">
        <f ca="1">IF(B217="","",IF(ISERROR(MATCH($J217,SorP!$B$1:$B$6230,0)),"",INDIRECT("'SorP'!$A$"&amp;MATCH($J217,SorP!$B$1:$B$6230,0))))</f>
        <v>BR-SP</v>
      </c>
      <c r="U217" s="280"/>
      <c r="V217" s="281">
        <f>IF(C217="",NA(),MATCH($B217&amp;$C217,'Smelter Look-up'!$J:$J,0))</f>
        <v>479</v>
      </c>
      <c r="W217" s="282"/>
      <c r="X217" s="282">
        <f t="shared" si="10"/>
        <v>0</v>
      </c>
      <c r="Y217" s="282"/>
      <c r="Z217" s="282"/>
      <c r="AB217" s="284" t="str">
        <f t="shared" si="11"/>
        <v>TinSoft Metais Ltda.</v>
      </c>
    </row>
    <row r="218" spans="1:28" s="283" customFormat="1" ht="25.15" customHeight="1">
      <c r="A218" s="235" t="s">
        <v>3290</v>
      </c>
      <c r="B218" s="236" t="s">
        <v>1264</v>
      </c>
      <c r="C218" s="242" t="s">
        <v>3289</v>
      </c>
      <c r="D218" s="236"/>
      <c r="E218" s="236" t="s">
        <v>1228</v>
      </c>
      <c r="F218" s="236" t="s">
        <v>3290</v>
      </c>
      <c r="G218" s="236" t="s">
        <v>14672</v>
      </c>
      <c r="H218" s="237"/>
      <c r="I218" s="238" t="s">
        <v>3302</v>
      </c>
      <c r="J218" s="238" t="s">
        <v>1954</v>
      </c>
      <c r="K218" s="240"/>
      <c r="L218" s="240"/>
      <c r="M218" s="240"/>
      <c r="N218" s="240"/>
      <c r="O218" s="240"/>
      <c r="P218" s="239" t="s">
        <v>15440</v>
      </c>
      <c r="Q218" s="241"/>
      <c r="R218" s="236" t="str">
        <f ca="1">IF(ISERROR($V218),"",OFFSET('Smelter Look-up'!$C$4,$V218-4,0)&amp;"")</f>
        <v>Super Ligas</v>
      </c>
      <c r="S218" s="250" t="str">
        <f t="shared" ca="1" si="9"/>
        <v>BR</v>
      </c>
      <c r="T218" s="250" t="str">
        <f ca="1">IF(B218="","",IF(ISERROR(MATCH($J218,SorP!$B$1:$B$6230,0)),"",INDIRECT("'SorP'!$A$"&amp;MATCH($J218,SorP!$B$1:$B$6230,0))))</f>
        <v>BR-SP</v>
      </c>
      <c r="U218" s="280"/>
      <c r="V218" s="281">
        <f>IF(C218="",NA(),MATCH($B218&amp;$C218,'Smelter Look-up'!$J:$J,0))</f>
        <v>480</v>
      </c>
      <c r="W218" s="282"/>
      <c r="X218" s="282">
        <f t="shared" si="10"/>
        <v>0</v>
      </c>
      <c r="Y218" s="282"/>
      <c r="Z218" s="282"/>
      <c r="AB218" s="284" t="str">
        <f t="shared" si="11"/>
        <v>TinSuper Ligas</v>
      </c>
    </row>
    <row r="219" spans="1:28" s="283" customFormat="1" ht="25.15" customHeight="1">
      <c r="A219" s="235" t="s">
        <v>908</v>
      </c>
      <c r="B219" s="236" t="s">
        <v>1264</v>
      </c>
      <c r="C219" s="242" t="s">
        <v>1160</v>
      </c>
      <c r="D219" s="236"/>
      <c r="E219" s="236" t="s">
        <v>1016</v>
      </c>
      <c r="F219" s="236" t="s">
        <v>908</v>
      </c>
      <c r="G219" s="236" t="s">
        <v>14672</v>
      </c>
      <c r="H219" s="237"/>
      <c r="I219" s="238" t="s">
        <v>2103</v>
      </c>
      <c r="J219" s="238" t="s">
        <v>2104</v>
      </c>
      <c r="K219" s="240"/>
      <c r="L219" s="240"/>
      <c r="M219" s="240"/>
      <c r="N219" s="240"/>
      <c r="O219" s="240"/>
      <c r="P219" s="239" t="s">
        <v>15440</v>
      </c>
      <c r="Q219" s="241"/>
      <c r="R219" s="236" t="str">
        <f ca="1">IF(ISERROR($V219),"",OFFSET('Smelter Look-up'!$C$4,$V219-4,0)&amp;"")</f>
        <v>Thaisarco</v>
      </c>
      <c r="S219" s="250" t="str">
        <f t="shared" ca="1" si="9"/>
        <v>TH</v>
      </c>
      <c r="T219" s="250" t="str">
        <f ca="1">IF(B219="","",IF(ISERROR(MATCH($J219,SorP!$B$1:$B$6230,0)),"",INDIRECT("'SorP'!$A$"&amp;MATCH($J219,SorP!$B$1:$B$6230,0))))</f>
        <v>TH-83</v>
      </c>
      <c r="U219" s="280"/>
      <c r="V219" s="281">
        <f>IF(C219="",NA(),MATCH($B219&amp;$C219,'Smelter Look-up'!$J:$J,0))</f>
        <v>483</v>
      </c>
      <c r="W219" s="282"/>
      <c r="X219" s="282">
        <f t="shared" si="10"/>
        <v>0</v>
      </c>
      <c r="Y219" s="282"/>
      <c r="Z219" s="282"/>
      <c r="AB219" s="284" t="str">
        <f t="shared" si="11"/>
        <v>TinThaisarco</v>
      </c>
    </row>
    <row r="220" spans="1:28" s="283" customFormat="1" ht="113.45" customHeight="1">
      <c r="A220" s="235" t="s">
        <v>2122</v>
      </c>
      <c r="B220" s="236" t="s">
        <v>1264</v>
      </c>
      <c r="C220" s="242" t="s">
        <v>2121</v>
      </c>
      <c r="D220" s="236"/>
      <c r="E220" s="236" t="s">
        <v>1020</v>
      </c>
      <c r="F220" s="236" t="s">
        <v>2122</v>
      </c>
      <c r="G220" s="236" t="s">
        <v>14672</v>
      </c>
      <c r="H220" s="237"/>
      <c r="I220" s="238" t="s">
        <v>2123</v>
      </c>
      <c r="J220" s="238" t="s">
        <v>13307</v>
      </c>
      <c r="K220" s="240"/>
      <c r="L220" s="240"/>
      <c r="M220" s="240"/>
      <c r="N220" s="240"/>
      <c r="O220" s="240"/>
      <c r="P220" s="239" t="s">
        <v>15440</v>
      </c>
      <c r="Q220" s="241"/>
      <c r="R220" s="236" t="str">
        <f ca="1">IF(ISERROR($V220),"",OFFSET('Smelter Look-up'!$C$4,$V220-4,0)&amp;"")</f>
        <v>Tuyen Quang Non-Ferrous Metals Joint Stock Company</v>
      </c>
      <c r="S220" s="250" t="str">
        <f t="shared" ca="1" si="9"/>
        <v>VN</v>
      </c>
      <c r="T220" s="250" t="str">
        <f ca="1">IF(B220="","",IF(ISERROR(MATCH($J220,SorP!$B$1:$B$6230,0)),"",INDIRECT("'SorP'!$A$"&amp;MATCH($J220,SorP!$B$1:$B$6230,0))))</f>
        <v>VN-07</v>
      </c>
      <c r="U220" s="280"/>
      <c r="V220" s="281">
        <f>IF(C220="",NA(),MATCH($B220&amp;$C220,'Smelter Look-up'!$J:$J,0))</f>
        <v>488</v>
      </c>
      <c r="W220" s="282"/>
      <c r="X220" s="282">
        <f t="shared" si="10"/>
        <v>0</v>
      </c>
      <c r="Y220" s="282"/>
      <c r="Z220" s="282"/>
      <c r="AB220" s="284" t="str">
        <f t="shared" si="11"/>
        <v>TinTuyen Quang Non-Ferrous Metals Joint Stock Company</v>
      </c>
    </row>
    <row r="221" spans="1:28" s="283" customFormat="1" ht="75.599999999999994" customHeight="1">
      <c r="A221" s="235" t="s">
        <v>909</v>
      </c>
      <c r="B221" s="236" t="s">
        <v>1264</v>
      </c>
      <c r="C221" s="242" t="s">
        <v>3291</v>
      </c>
      <c r="D221" s="236"/>
      <c r="E221" s="236" t="s">
        <v>1228</v>
      </c>
      <c r="F221" s="236" t="s">
        <v>909</v>
      </c>
      <c r="G221" s="236" t="s">
        <v>14672</v>
      </c>
      <c r="H221" s="237"/>
      <c r="I221" s="238" t="s">
        <v>2064</v>
      </c>
      <c r="J221" s="238" t="s">
        <v>2070</v>
      </c>
      <c r="K221" s="240"/>
      <c r="L221" s="240"/>
      <c r="M221" s="240"/>
      <c r="N221" s="240"/>
      <c r="O221" s="240"/>
      <c r="P221" s="239" t="s">
        <v>15440</v>
      </c>
      <c r="Q221" s="241"/>
      <c r="R221" s="236" t="str">
        <f ca="1">IF(ISERROR($V221),"",OFFSET('Smelter Look-up'!$C$4,$V221-4,0)&amp;"")</f>
        <v>White Solder Metalurgia e Mineracao Ltda.</v>
      </c>
      <c r="S221" s="250" t="str">
        <f t="shared" ca="1" si="9"/>
        <v>BR</v>
      </c>
      <c r="T221" s="250" t="str">
        <f ca="1">IF(B221="","",IF(ISERROR(MATCH($J221,SorP!$B$1:$B$6230,0)),"",INDIRECT("'SorP'!$A$"&amp;MATCH($J221,SorP!$B$1:$B$6230,0))))</f>
        <v>BR-RO</v>
      </c>
      <c r="U221" s="280"/>
      <c r="V221" s="281">
        <f>IF(C221="",NA(),MATCH($B221&amp;$C221,'Smelter Look-up'!$J:$J,0))</f>
        <v>490</v>
      </c>
      <c r="W221" s="282"/>
      <c r="X221" s="282">
        <f t="shared" si="10"/>
        <v>0</v>
      </c>
      <c r="Y221" s="282"/>
      <c r="Z221" s="282"/>
      <c r="AB221" s="284" t="str">
        <f t="shared" si="11"/>
        <v>TinWhite Solder Metalurgia e Mineracao Ltda.</v>
      </c>
    </row>
    <row r="222" spans="1:28" s="283" customFormat="1" ht="88.15" customHeight="1">
      <c r="A222" s="235" t="s">
        <v>910</v>
      </c>
      <c r="B222" s="236" t="s">
        <v>1264</v>
      </c>
      <c r="C222" s="242" t="s">
        <v>2632</v>
      </c>
      <c r="D222" s="236"/>
      <c r="E222" s="236" t="s">
        <v>1232</v>
      </c>
      <c r="F222" s="236" t="s">
        <v>910</v>
      </c>
      <c r="G222" s="236" t="s">
        <v>14672</v>
      </c>
      <c r="H222" s="237"/>
      <c r="I222" s="238" t="s">
        <v>3170</v>
      </c>
      <c r="J222" s="238" t="s">
        <v>1830</v>
      </c>
      <c r="K222" s="240"/>
      <c r="L222" s="240"/>
      <c r="M222" s="240"/>
      <c r="N222" s="240"/>
      <c r="O222" s="240"/>
      <c r="P222" s="239" t="s">
        <v>15440</v>
      </c>
      <c r="Q222" s="241"/>
      <c r="R222" s="236" t="str">
        <f ca="1">IF(ISERROR($V222),"",OFFSET('Smelter Look-up'!$C$4,$V222-4,0)&amp;"")</f>
        <v>Yunnan Chengfeng Non-ferrous Metals Co., Ltd.</v>
      </c>
      <c r="S222" s="250" t="str">
        <f t="shared" ca="1" si="9"/>
        <v>CN</v>
      </c>
      <c r="T222" s="250" t="str">
        <f ca="1">IF(B222="","",IF(ISERROR(MATCH($J222,SorP!$B$1:$B$6230,0)),"",INDIRECT("'SorP'!$A$"&amp;MATCH($J222,SorP!$B$1:$B$6230,0))))</f>
        <v>CN-53</v>
      </c>
      <c r="U222" s="280"/>
      <c r="V222" s="281">
        <f>IF(C222="",NA(),MATCH($B222&amp;$C222,'Smelter Look-up'!$J:$J,0))</f>
        <v>498</v>
      </c>
      <c r="W222" s="282"/>
      <c r="X222" s="282">
        <f t="shared" si="10"/>
        <v>0</v>
      </c>
      <c r="Y222" s="282"/>
      <c r="Z222" s="282"/>
      <c r="AB222" s="284" t="str">
        <f t="shared" si="11"/>
        <v>TinYunnan Chengfeng Non-ferrous Metals Co., Ltd.</v>
      </c>
    </row>
    <row r="223" spans="1:28" s="283" customFormat="1" ht="63" customHeight="1">
      <c r="A223" s="235" t="s">
        <v>911</v>
      </c>
      <c r="B223" s="236" t="s">
        <v>1264</v>
      </c>
      <c r="C223" s="242" t="s">
        <v>3033</v>
      </c>
      <c r="D223" s="236"/>
      <c r="E223" s="236" t="s">
        <v>1232</v>
      </c>
      <c r="F223" s="236" t="s">
        <v>911</v>
      </c>
      <c r="G223" s="236" t="s">
        <v>14672</v>
      </c>
      <c r="H223" s="237"/>
      <c r="I223" s="238" t="s">
        <v>3170</v>
      </c>
      <c r="J223" s="238" t="s">
        <v>1830</v>
      </c>
      <c r="K223" s="240"/>
      <c r="L223" s="240"/>
      <c r="M223" s="240"/>
      <c r="N223" s="240"/>
      <c r="O223" s="240"/>
      <c r="P223" s="239" t="s">
        <v>15440</v>
      </c>
      <c r="Q223" s="241"/>
      <c r="R223" s="236" t="str">
        <f ca="1">IF(ISERROR($V223),"",OFFSET('Smelter Look-up'!$C$4,$V223-4,0)&amp;"")</f>
        <v>Yunnan Tin Company Limited</v>
      </c>
      <c r="S223" s="250" t="str">
        <f t="shared" ca="1" si="9"/>
        <v>CN</v>
      </c>
      <c r="T223" s="250" t="str">
        <f ca="1">IF(B223="","",IF(ISERROR(MATCH($J223,SorP!$B$1:$B$6230,0)),"",INDIRECT("'SorP'!$A$"&amp;MATCH($J223,SorP!$B$1:$B$6230,0))))</f>
        <v>CN-53</v>
      </c>
      <c r="U223" s="280"/>
      <c r="V223" s="281">
        <f>IF(C223="",NA(),MATCH($B223&amp;$C223,'Smelter Look-up'!$J:$J,0))</f>
        <v>502</v>
      </c>
      <c r="W223" s="282"/>
      <c r="X223" s="282">
        <f t="shared" si="10"/>
        <v>0</v>
      </c>
      <c r="Y223" s="282"/>
      <c r="Z223" s="282"/>
      <c r="AB223" s="284" t="str">
        <f t="shared" si="11"/>
        <v>TinYunnan Tin Company Limited</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16" activePane="bottomRight" state="frozen"/>
      <selection pane="topRight" activeCell="B1" sqref="B1"/>
      <selection pane="bottomLeft" activeCell="A4" sqref="A4"/>
      <selection pane="bottomRight" activeCell="O11" sqref="O11"/>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Radiall</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Sylvie Lefloch Dubois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infoenv@radiall,com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(+33) 4 7650 0057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Sylvie Lefloch Dubois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sylvie.lefloch-dubois@radiall.com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(+33) 4 7650 0057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43539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90%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https://www.radiall.com/about/sustainability/other-regulations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Complete</v>
      </c>
      <c r="D66" s="112"/>
      <c r="E66" s="88"/>
      <c r="F66" s="111">
        <f>IF(COUNTIF('Smelter List'!C5:C2493,"Smelter not listed")=0,0,1)</f>
        <v>1</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baseColWidth="10"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baseColWidth="10"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84.7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56.2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DUBOIS Sylvie</cp:lastModifiedBy>
  <cp:lastPrinted>2015-04-21T20:47:43Z</cp:lastPrinted>
  <dcterms:created xsi:type="dcterms:W3CDTF">2010-06-21T21:00:23Z</dcterms:created>
  <dcterms:modified xsi:type="dcterms:W3CDTF">2019-03-15T07:58:35Z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